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615" windowWidth="23250" windowHeight="11850"/>
  </bookViews>
  <sheets>
    <sheet name="по новой классификации (2)" sheetId="5" r:id="rId1"/>
  </sheets>
  <definedNames>
    <definedName name="_xlnm._FilterDatabase" localSheetId="0" hidden="1">'по новой классификации (2)'!$D$21:$J$1339</definedName>
    <definedName name="_xlnm.Print_Titles" localSheetId="0">'по новой классификации (2)'!$18:$18</definedName>
    <definedName name="_xlnm.Print_Area" localSheetId="0">'по новой классификации (2)'!$A$1:$M$1342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37" i="5" l="1"/>
  <c r="L1030" i="5" l="1"/>
  <c r="L918" i="5"/>
  <c r="L871" i="5"/>
  <c r="L829" i="5"/>
  <c r="L820" i="5"/>
  <c r="L768" i="5"/>
  <c r="L682" i="5"/>
  <c r="L621" i="5"/>
  <c r="L388" i="5"/>
  <c r="K389" i="5"/>
  <c r="L385" i="5"/>
  <c r="K273" i="5"/>
  <c r="L52" i="5"/>
  <c r="L49" i="5"/>
  <c r="L90" i="5"/>
  <c r="M26" i="5" l="1"/>
  <c r="M27" i="5"/>
  <c r="M34" i="5"/>
  <c r="M40" i="5"/>
  <c r="M44" i="5"/>
  <c r="M45" i="5"/>
  <c r="M46" i="5"/>
  <c r="M48" i="5"/>
  <c r="M50" i="5"/>
  <c r="M51" i="5"/>
  <c r="M52" i="5"/>
  <c r="M53" i="5"/>
  <c r="M54" i="5"/>
  <c r="M57" i="5"/>
  <c r="M58" i="5"/>
  <c r="M60" i="5"/>
  <c r="M61" i="5"/>
  <c r="M66" i="5"/>
  <c r="M71" i="5"/>
  <c r="M82" i="5"/>
  <c r="M83" i="5"/>
  <c r="M84" i="5"/>
  <c r="M85" i="5"/>
  <c r="M86" i="5"/>
  <c r="M89" i="5"/>
  <c r="M90" i="5"/>
  <c r="M91" i="5"/>
  <c r="M95" i="5"/>
  <c r="M96" i="5"/>
  <c r="M100" i="5"/>
  <c r="M105" i="5"/>
  <c r="M110" i="5"/>
  <c r="M114" i="5"/>
  <c r="M115" i="5"/>
  <c r="M118" i="5"/>
  <c r="M122" i="5"/>
  <c r="M124" i="5"/>
  <c r="M130" i="5"/>
  <c r="M144" i="5"/>
  <c r="M151" i="5"/>
  <c r="M154" i="5"/>
  <c r="M157" i="5"/>
  <c r="M163" i="5"/>
  <c r="M172" i="5"/>
  <c r="M180" i="5"/>
  <c r="M184" i="5"/>
  <c r="M191" i="5"/>
  <c r="M198" i="5"/>
  <c r="M205" i="5"/>
  <c r="M211" i="5"/>
  <c r="M215" i="5"/>
  <c r="M217" i="5"/>
  <c r="M223" i="5"/>
  <c r="M228" i="5"/>
  <c r="M229" i="5"/>
  <c r="M243" i="5"/>
  <c r="M244" i="5"/>
  <c r="M245" i="5"/>
  <c r="M246" i="5"/>
  <c r="M251" i="5"/>
  <c r="M255" i="5"/>
  <c r="M261" i="5"/>
  <c r="M263" i="5"/>
  <c r="M273" i="5"/>
  <c r="M279" i="5"/>
  <c r="M285" i="5"/>
  <c r="M291" i="5"/>
  <c r="M304" i="5"/>
  <c r="M310" i="5"/>
  <c r="M317" i="5"/>
  <c r="M324" i="5"/>
  <c r="M330" i="5"/>
  <c r="M338" i="5"/>
  <c r="M342" i="5"/>
  <c r="M343" i="5"/>
  <c r="M344" i="5"/>
  <c r="M346" i="5"/>
  <c r="M347" i="5"/>
  <c r="M353" i="5"/>
  <c r="M360" i="5"/>
  <c r="M367" i="5"/>
  <c r="M375" i="5"/>
  <c r="M382" i="5"/>
  <c r="M383" i="5"/>
  <c r="M384" i="5"/>
  <c r="M385" i="5"/>
  <c r="M386" i="5"/>
  <c r="M389" i="5"/>
  <c r="M390" i="5"/>
  <c r="M391" i="5"/>
  <c r="M393" i="5"/>
  <c r="M402" i="5"/>
  <c r="M404" i="5"/>
  <c r="M410" i="5"/>
  <c r="M411" i="5"/>
  <c r="M413" i="5"/>
  <c r="M417" i="5"/>
  <c r="M419" i="5"/>
  <c r="M425" i="5"/>
  <c r="M432" i="5"/>
  <c r="M438" i="5"/>
  <c r="M440" i="5"/>
  <c r="M442" i="5"/>
  <c r="M450" i="5"/>
  <c r="M455" i="5"/>
  <c r="M456" i="5"/>
  <c r="M457" i="5"/>
  <c r="M459" i="5"/>
  <c r="M460" i="5"/>
  <c r="M461" i="5"/>
  <c r="M463" i="5"/>
  <c r="M464" i="5"/>
  <c r="M465" i="5"/>
  <c r="M467" i="5"/>
  <c r="M469" i="5"/>
  <c r="M470" i="5"/>
  <c r="M475" i="5"/>
  <c r="M476" i="5"/>
  <c r="M477" i="5"/>
  <c r="M479" i="5"/>
  <c r="M481" i="5"/>
  <c r="M483" i="5"/>
  <c r="M485" i="5"/>
  <c r="M489" i="5"/>
  <c r="M490" i="5"/>
  <c r="M491" i="5"/>
  <c r="M493" i="5"/>
  <c r="M494" i="5"/>
  <c r="M495" i="5"/>
  <c r="M499" i="5"/>
  <c r="M500" i="5"/>
  <c r="M501" i="5"/>
  <c r="M503" i="5"/>
  <c r="M504" i="5"/>
  <c r="M505" i="5"/>
  <c r="M507" i="5"/>
  <c r="M508" i="5"/>
  <c r="M509" i="5"/>
  <c r="M511" i="5"/>
  <c r="M512" i="5"/>
  <c r="M516" i="5"/>
  <c r="M536" i="5"/>
  <c r="M544" i="5"/>
  <c r="M549" i="5"/>
  <c r="M550" i="5"/>
  <c r="M553" i="5"/>
  <c r="M556" i="5"/>
  <c r="M557" i="5"/>
  <c r="M561" i="5"/>
  <c r="M571" i="5"/>
  <c r="M577" i="5"/>
  <c r="M584" i="5"/>
  <c r="M592" i="5"/>
  <c r="M599" i="5"/>
  <c r="M612" i="5"/>
  <c r="M613" i="5"/>
  <c r="M615" i="5"/>
  <c r="M616" i="5"/>
  <c r="M619" i="5"/>
  <c r="M620" i="5"/>
  <c r="M621" i="5"/>
  <c r="M622" i="5"/>
  <c r="M623" i="5"/>
  <c r="M625" i="5"/>
  <c r="M628" i="5"/>
  <c r="M635" i="5"/>
  <c r="M642" i="5"/>
  <c r="M649" i="5"/>
  <c r="M656" i="5"/>
  <c r="M664" i="5"/>
  <c r="M671" i="5"/>
  <c r="M673" i="5"/>
  <c r="M675" i="5"/>
  <c r="M678" i="5"/>
  <c r="M681" i="5"/>
  <c r="M682" i="5"/>
  <c r="M683" i="5"/>
  <c r="M685" i="5"/>
  <c r="M690" i="5"/>
  <c r="M695" i="5"/>
  <c r="M702" i="5"/>
  <c r="M707" i="5"/>
  <c r="M711" i="5"/>
  <c r="M715" i="5"/>
  <c r="M721" i="5"/>
  <c r="M723" i="5"/>
  <c r="M725" i="5"/>
  <c r="M727" i="5"/>
  <c r="M729" i="5"/>
  <c r="M731" i="5"/>
  <c r="M732" i="5"/>
  <c r="M733" i="5"/>
  <c r="M735" i="5"/>
  <c r="M743" i="5"/>
  <c r="M744" i="5"/>
  <c r="M747" i="5"/>
  <c r="M750" i="5"/>
  <c r="M752" i="5"/>
  <c r="M754" i="5"/>
  <c r="M756" i="5"/>
  <c r="M759" i="5"/>
  <c r="M761" i="5"/>
  <c r="M767" i="5"/>
  <c r="M769" i="5"/>
  <c r="M771" i="5"/>
  <c r="M773" i="5"/>
  <c r="M775" i="5"/>
  <c r="M777" i="5"/>
  <c r="M779" i="5"/>
  <c r="M782" i="5"/>
  <c r="M785" i="5"/>
  <c r="M792" i="5"/>
  <c r="M794" i="5"/>
  <c r="M799" i="5"/>
  <c r="M803" i="5"/>
  <c r="M807" i="5"/>
  <c r="M813" i="5"/>
  <c r="M815" i="5"/>
  <c r="M818" i="5"/>
  <c r="M821" i="5"/>
  <c r="M823" i="5"/>
  <c r="M828" i="5"/>
  <c r="M829" i="5"/>
  <c r="M830" i="5"/>
  <c r="M835" i="5"/>
  <c r="M839" i="5"/>
  <c r="M845" i="5"/>
  <c r="M852" i="5"/>
  <c r="M853" i="5"/>
  <c r="M855" i="5"/>
  <c r="M856" i="5"/>
  <c r="M860" i="5"/>
  <c r="M861" i="5"/>
  <c r="M862" i="5"/>
  <c r="M864" i="5"/>
  <c r="M873" i="5"/>
  <c r="M876" i="5"/>
  <c r="M878" i="5"/>
  <c r="M881" i="5"/>
  <c r="M882" i="5"/>
  <c r="M883" i="5"/>
  <c r="M885" i="5"/>
  <c r="M886" i="5"/>
  <c r="M888" i="5"/>
  <c r="M890" i="5"/>
  <c r="M894" i="5"/>
  <c r="M896" i="5"/>
  <c r="M900" i="5"/>
  <c r="M901" i="5"/>
  <c r="M902" i="5"/>
  <c r="M904" i="5"/>
  <c r="M907" i="5"/>
  <c r="M916" i="5"/>
  <c r="M917" i="5"/>
  <c r="M918" i="5"/>
  <c r="M919" i="5"/>
  <c r="M920" i="5"/>
  <c r="M925" i="5"/>
  <c r="M926" i="5"/>
  <c r="M931" i="5"/>
  <c r="M939" i="5"/>
  <c r="M940" i="5"/>
  <c r="M948" i="5"/>
  <c r="M955" i="5"/>
  <c r="M963" i="5"/>
  <c r="M967" i="5"/>
  <c r="M971" i="5"/>
  <c r="M973" i="5"/>
  <c r="M977" i="5"/>
  <c r="M985" i="5"/>
  <c r="M996" i="5"/>
  <c r="M1009" i="5"/>
  <c r="M1010" i="5"/>
  <c r="M1017" i="5"/>
  <c r="M1018" i="5"/>
  <c r="M1021" i="5"/>
  <c r="M1024" i="5"/>
  <c r="M1025" i="5"/>
  <c r="M1026" i="5"/>
  <c r="M1027" i="5"/>
  <c r="M1033" i="5"/>
  <c r="M1039" i="5"/>
  <c r="M1044" i="5"/>
  <c r="M1048" i="5"/>
  <c r="M1061" i="5"/>
  <c r="M1062" i="5"/>
  <c r="M1099" i="5"/>
  <c r="M1106" i="5"/>
  <c r="M1108" i="5"/>
  <c r="M1113" i="5"/>
  <c r="M1117" i="5"/>
  <c r="M1120" i="5"/>
  <c r="M1121" i="5"/>
  <c r="M1122" i="5"/>
  <c r="M1126" i="5"/>
  <c r="M1132" i="5"/>
  <c r="M1134" i="5"/>
  <c r="M1136" i="5"/>
  <c r="M1138" i="5"/>
  <c r="M1140" i="5"/>
  <c r="M1145" i="5"/>
  <c r="M1146" i="5"/>
  <c r="M1147" i="5"/>
  <c r="M1152" i="5"/>
  <c r="M1157" i="5"/>
  <c r="M1161" i="5"/>
  <c r="M1165" i="5"/>
  <c r="M1171" i="5"/>
  <c r="M1172" i="5"/>
  <c r="M1173" i="5"/>
  <c r="M1175" i="5"/>
  <c r="M1180" i="5"/>
  <c r="M1181" i="5"/>
  <c r="M1189" i="5"/>
  <c r="M1196" i="5"/>
  <c r="M1202" i="5"/>
  <c r="M1203" i="5"/>
  <c r="M1204" i="5"/>
  <c r="M1207" i="5"/>
  <c r="M1208" i="5"/>
  <c r="M1210" i="5"/>
  <c r="M1215" i="5"/>
  <c r="M1219" i="5"/>
  <c r="M1225" i="5"/>
  <c r="M1226" i="5"/>
  <c r="M1227" i="5"/>
  <c r="M1229" i="5"/>
  <c r="M1237" i="5"/>
  <c r="M1238" i="5"/>
  <c r="M1239" i="5"/>
  <c r="M1241" i="5"/>
  <c r="M1243" i="5"/>
  <c r="M1244" i="5"/>
  <c r="M1246" i="5"/>
  <c r="M1248" i="5"/>
  <c r="M1255" i="5"/>
  <c r="M1267" i="5"/>
  <c r="M1268" i="5"/>
  <c r="M1270" i="5"/>
  <c r="M1272" i="5"/>
  <c r="M1274" i="5"/>
  <c r="M1277" i="5"/>
  <c r="M1280" i="5"/>
  <c r="M1283" i="5"/>
  <c r="M1290" i="5"/>
  <c r="M1298" i="5"/>
  <c r="M1302" i="5"/>
  <c r="M1305" i="5"/>
  <c r="M1306" i="5"/>
  <c r="M1307" i="5"/>
  <c r="M1314" i="5"/>
  <c r="M1315" i="5"/>
  <c r="M1317" i="5"/>
  <c r="M1318" i="5"/>
  <c r="M1320" i="5"/>
  <c r="M1321" i="5"/>
  <c r="M1323" i="5"/>
  <c r="M1331" i="5"/>
  <c r="M1332" i="5"/>
  <c r="M1334" i="5"/>
  <c r="M1335" i="5"/>
  <c r="M1337" i="5"/>
  <c r="M1338" i="5"/>
  <c r="L1336" i="5"/>
  <c r="M1336" i="5" s="1"/>
  <c r="L1333" i="5"/>
  <c r="M1333" i="5" s="1"/>
  <c r="L1330" i="5"/>
  <c r="L1324" i="5"/>
  <c r="L1322" i="5"/>
  <c r="M1322" i="5" s="1"/>
  <c r="L1319" i="5"/>
  <c r="M1319" i="5" s="1"/>
  <c r="L1316" i="5"/>
  <c r="M1316" i="5" s="1"/>
  <c r="L1313" i="5"/>
  <c r="M1313" i="5" s="1"/>
  <c r="L1306" i="5"/>
  <c r="L1305" i="5" s="1"/>
  <c r="L1304" i="5" s="1"/>
  <c r="M1304" i="5" s="1"/>
  <c r="L1301" i="5"/>
  <c r="L1297" i="5"/>
  <c r="L1296" i="5" s="1"/>
  <c r="L1289" i="5"/>
  <c r="L1288" i="5" s="1"/>
  <c r="L1287" i="5" s="1"/>
  <c r="L1286" i="5" s="1"/>
  <c r="L1285" i="5" s="1"/>
  <c r="L1284" i="5" s="1"/>
  <c r="M1284" i="5" s="1"/>
  <c r="L1282" i="5"/>
  <c r="M1282" i="5" s="1"/>
  <c r="L1279" i="5"/>
  <c r="L1278" i="5" s="1"/>
  <c r="M1278" i="5" s="1"/>
  <c r="L1276" i="5"/>
  <c r="L1275" i="5" s="1"/>
  <c r="M1275" i="5" s="1"/>
  <c r="L1273" i="5"/>
  <c r="M1273" i="5" s="1"/>
  <c r="L1271" i="5"/>
  <c r="M1271" i="5" s="1"/>
  <c r="L1266" i="5"/>
  <c r="L1261" i="5"/>
  <c r="L1260" i="5" s="1"/>
  <c r="L1259" i="5" s="1"/>
  <c r="L1253" i="5"/>
  <c r="L1252" i="5" s="1"/>
  <c r="L1251" i="5" s="1"/>
  <c r="L1250" i="5" s="1"/>
  <c r="L1249" i="5" s="1"/>
  <c r="M1249" i="5" s="1"/>
  <c r="L1254" i="5"/>
  <c r="M1254" i="5" s="1"/>
  <c r="L1247" i="5"/>
  <c r="M1247" i="5" s="1"/>
  <c r="L1245" i="5"/>
  <c r="M1245" i="5" s="1"/>
  <c r="L1242" i="5"/>
  <c r="M1242" i="5" s="1"/>
  <c r="L1240" i="5"/>
  <c r="M1240" i="5" s="1"/>
  <c r="L1236" i="5"/>
  <c r="M1236" i="5" s="1"/>
  <c r="L1228" i="5"/>
  <c r="M1228" i="5" s="1"/>
  <c r="L1224" i="5"/>
  <c r="L1218" i="5"/>
  <c r="L1217" i="5" s="1"/>
  <c r="L1216" i="5" s="1"/>
  <c r="M1216" i="5" s="1"/>
  <c r="L1214" i="5"/>
  <c r="M1214" i="5" s="1"/>
  <c r="L1209" i="5"/>
  <c r="L1208" i="5" s="1"/>
  <c r="L1206" i="5"/>
  <c r="L1205" i="5" s="1"/>
  <c r="M1205" i="5" s="1"/>
  <c r="L1201" i="5"/>
  <c r="L1200" i="5" s="1"/>
  <c r="M1200" i="5" s="1"/>
  <c r="L1195" i="5"/>
  <c r="L1194" i="5" s="1"/>
  <c r="L1193" i="5" s="1"/>
  <c r="L1192" i="5" s="1"/>
  <c r="L1191" i="5" s="1"/>
  <c r="M1191" i="5" s="1"/>
  <c r="L1188" i="5"/>
  <c r="L1187" i="5" s="1"/>
  <c r="L1186" i="5" s="1"/>
  <c r="L1185" i="5" s="1"/>
  <c r="L1184" i="5" s="1"/>
  <c r="L1183" i="5" s="1"/>
  <c r="M1183" i="5" s="1"/>
  <c r="L1179" i="5"/>
  <c r="M1179" i="5" s="1"/>
  <c r="L1174" i="5"/>
  <c r="M1174" i="5" s="1"/>
  <c r="L1170" i="5"/>
  <c r="L1169" i="5" s="1"/>
  <c r="L1168" i="5" s="1"/>
  <c r="L1167" i="5" s="1"/>
  <c r="M1167" i="5" s="1"/>
  <c r="L1164" i="5"/>
  <c r="L1163" i="5" s="1"/>
  <c r="L1162" i="5" s="1"/>
  <c r="M1162" i="5" s="1"/>
  <c r="L1160" i="5"/>
  <c r="L1159" i="5" s="1"/>
  <c r="L1158" i="5" s="1"/>
  <c r="L1156" i="5"/>
  <c r="L1155" i="5" s="1"/>
  <c r="L1154" i="5" s="1"/>
  <c r="L1151" i="5"/>
  <c r="M1151" i="5" s="1"/>
  <c r="L1143" i="5"/>
  <c r="L1142" i="5" s="1"/>
  <c r="L1141" i="5" s="1"/>
  <c r="L1139" i="5"/>
  <c r="L1137" i="5"/>
  <c r="M1137" i="5" s="1"/>
  <c r="L1135" i="5"/>
  <c r="M1135" i="5" s="1"/>
  <c r="L1133" i="5"/>
  <c r="M1133" i="5" s="1"/>
  <c r="L1131" i="5"/>
  <c r="M1131" i="5" s="1"/>
  <c r="L1129" i="5"/>
  <c r="L1127" i="5"/>
  <c r="L1125" i="5"/>
  <c r="M1125" i="5" s="1"/>
  <c r="L1123" i="5"/>
  <c r="L1118" i="5"/>
  <c r="L1116" i="5"/>
  <c r="L1112" i="5"/>
  <c r="M1112" i="5" s="1"/>
  <c r="L1107" i="5"/>
  <c r="M1107" i="5" s="1"/>
  <c r="L1105" i="5"/>
  <c r="L1104" i="5" s="1"/>
  <c r="L1103" i="5" s="1"/>
  <c r="L1102" i="5" s="1"/>
  <c r="L1098" i="5"/>
  <c r="L1097" i="5" s="1"/>
  <c r="L1096" i="5" s="1"/>
  <c r="L1095" i="5" s="1"/>
  <c r="L1094" i="5" s="1"/>
  <c r="M1094" i="5" s="1"/>
  <c r="L1092" i="5"/>
  <c r="L1091" i="5" s="1"/>
  <c r="L1090" i="5" s="1"/>
  <c r="L1088" i="5"/>
  <c r="L1087" i="5" s="1"/>
  <c r="L1086" i="5" s="1"/>
  <c r="L1083" i="5"/>
  <c r="L1081" i="5"/>
  <c r="L1079" i="5"/>
  <c r="L1077" i="5"/>
  <c r="L1073" i="5"/>
  <c r="L1072" i="5" s="1"/>
  <c r="L1071" i="5" s="1"/>
  <c r="L1068" i="5"/>
  <c r="L1067" i="5" s="1"/>
  <c r="L1066" i="5" s="1"/>
  <c r="L1065" i="5" s="1"/>
  <c r="L1060" i="5"/>
  <c r="L1059" i="5" s="1"/>
  <c r="L1058" i="5" s="1"/>
  <c r="L1057" i="5" s="1"/>
  <c r="L1056" i="5" s="1"/>
  <c r="M1056" i="5" s="1"/>
  <c r="L1054" i="5"/>
  <c r="L1047" i="5"/>
  <c r="L1046" i="5" s="1"/>
  <c r="L1045" i="5" s="1"/>
  <c r="M1045" i="5" s="1"/>
  <c r="L1043" i="5"/>
  <c r="M1043" i="5" s="1"/>
  <c r="L1038" i="5"/>
  <c r="M1038" i="5" s="1"/>
  <c r="L1036" i="5"/>
  <c r="L1032" i="5"/>
  <c r="M1032" i="5" s="1"/>
  <c r="L1029" i="5"/>
  <c r="L1028" i="5" s="1"/>
  <c r="L1023" i="5"/>
  <c r="L1022" i="5" s="1"/>
  <c r="M1022" i="5" s="1"/>
  <c r="L1020" i="5"/>
  <c r="M1020" i="5" s="1"/>
  <c r="L1016" i="5"/>
  <c r="L1007" i="5"/>
  <c r="L1006" i="5" s="1"/>
  <c r="L1005" i="5" s="1"/>
  <c r="L1002" i="5"/>
  <c r="L1001" i="5" s="1"/>
  <c r="L1000" i="5" s="1"/>
  <c r="L995" i="5"/>
  <c r="L994" i="5" s="1"/>
  <c r="L993" i="5" s="1"/>
  <c r="L992" i="5" s="1"/>
  <c r="L991" i="5" s="1"/>
  <c r="M991" i="5" s="1"/>
  <c r="L989" i="5"/>
  <c r="L988" i="5" s="1"/>
  <c r="L987" i="5" s="1"/>
  <c r="L986" i="5" s="1"/>
  <c r="L983" i="5"/>
  <c r="L982" i="5" s="1"/>
  <c r="L981" i="5" s="1"/>
  <c r="M981" i="5" s="1"/>
  <c r="L984" i="5"/>
  <c r="M984" i="5" s="1"/>
  <c r="L979" i="5"/>
  <c r="L978" i="5" s="1"/>
  <c r="L976" i="5"/>
  <c r="L975" i="5" s="1"/>
  <c r="M975" i="5" s="1"/>
  <c r="L972" i="5"/>
  <c r="M972" i="5" s="1"/>
  <c r="L970" i="5"/>
  <c r="M970" i="5" s="1"/>
  <c r="L968" i="5"/>
  <c r="L966" i="5"/>
  <c r="M966" i="5" s="1"/>
  <c r="L961" i="5"/>
  <c r="L960" i="5" s="1"/>
  <c r="M960" i="5" s="1"/>
  <c r="L962" i="5"/>
  <c r="M962" i="5" s="1"/>
  <c r="L957" i="5"/>
  <c r="L956" i="5" s="1"/>
  <c r="L954" i="5"/>
  <c r="L953" i="5" s="1"/>
  <c r="M953" i="5" s="1"/>
  <c r="L947" i="5"/>
  <c r="L946" i="5" s="1"/>
  <c r="L945" i="5" s="1"/>
  <c r="L944" i="5" s="1"/>
  <c r="L943" i="5" s="1"/>
  <c r="L942" i="5" s="1"/>
  <c r="M942" i="5" s="1"/>
  <c r="L937" i="5"/>
  <c r="L936" i="5" s="1"/>
  <c r="L935" i="5" s="1"/>
  <c r="L934" i="5" s="1"/>
  <c r="L933" i="5" s="1"/>
  <c r="L932" i="5" s="1"/>
  <c r="M932" i="5" s="1"/>
  <c r="L930" i="5"/>
  <c r="M930" i="5" s="1"/>
  <c r="L923" i="5"/>
  <c r="L922" i="5" s="1"/>
  <c r="L921" i="5" s="1"/>
  <c r="L915" i="5"/>
  <c r="L914" i="5" s="1"/>
  <c r="L913" i="5" s="1"/>
  <c r="M913" i="5" s="1"/>
  <c r="L911" i="5"/>
  <c r="L906" i="5"/>
  <c r="L905" i="5" s="1"/>
  <c r="M905" i="5" s="1"/>
  <c r="L903" i="5"/>
  <c r="M903" i="5" s="1"/>
  <c r="L901" i="5"/>
  <c r="L899" i="5"/>
  <c r="L895" i="5"/>
  <c r="L893" i="5"/>
  <c r="M893" i="5" s="1"/>
  <c r="L891" i="5"/>
  <c r="L889" i="5"/>
  <c r="M889" i="5" s="1"/>
  <c r="L884" i="5"/>
  <c r="L880" i="5"/>
  <c r="L877" i="5"/>
  <c r="M877" i="5" s="1"/>
  <c r="L874" i="5"/>
  <c r="L868" i="5"/>
  <c r="L863" i="5"/>
  <c r="L859" i="5"/>
  <c r="L854" i="5"/>
  <c r="L852" i="5"/>
  <c r="L850" i="5"/>
  <c r="L844" i="5"/>
  <c r="L843" i="5" s="1"/>
  <c r="L842" i="5" s="1"/>
  <c r="L841" i="5" s="1"/>
  <c r="L840" i="5" s="1"/>
  <c r="M840" i="5" s="1"/>
  <c r="L838" i="5"/>
  <c r="L837" i="5" s="1"/>
  <c r="L833" i="5"/>
  <c r="L832" i="5" s="1"/>
  <c r="L834" i="5"/>
  <c r="L827" i="5"/>
  <c r="L826" i="5" s="1"/>
  <c r="L822" i="5"/>
  <c r="L819" i="5" s="1"/>
  <c r="M819" i="5" s="1"/>
  <c r="L817" i="5"/>
  <c r="L816" i="5" s="1"/>
  <c r="M816" i="5" s="1"/>
  <c r="L814" i="5"/>
  <c r="M814" i="5" s="1"/>
  <c r="L812" i="5"/>
  <c r="L806" i="5"/>
  <c r="L805" i="5" s="1"/>
  <c r="L804" i="5" s="1"/>
  <c r="M804" i="5" s="1"/>
  <c r="L802" i="5"/>
  <c r="L801" i="5" s="1"/>
  <c r="L800" i="5" s="1"/>
  <c r="M800" i="5" s="1"/>
  <c r="L798" i="5"/>
  <c r="L797" i="5" s="1"/>
  <c r="L796" i="5" s="1"/>
  <c r="L793" i="5"/>
  <c r="M793" i="5" s="1"/>
  <c r="L790" i="5"/>
  <c r="L791" i="5"/>
  <c r="L786" i="5"/>
  <c r="L784" i="5"/>
  <c r="L781" i="5"/>
  <c r="L780" i="5" s="1"/>
  <c r="M780" i="5" s="1"/>
  <c r="L778" i="5"/>
  <c r="L776" i="5"/>
  <c r="M776" i="5" s="1"/>
  <c r="L774" i="5"/>
  <c r="L772" i="5"/>
  <c r="M772" i="5" s="1"/>
  <c r="L770" i="5"/>
  <c r="M770" i="5" s="1"/>
  <c r="M768" i="5"/>
  <c r="L766" i="5"/>
  <c r="M766" i="5" s="1"/>
  <c r="L764" i="5"/>
  <c r="L762" i="5"/>
  <c r="L760" i="5"/>
  <c r="L758" i="5"/>
  <c r="M758" i="5" s="1"/>
  <c r="L755" i="5"/>
  <c r="L753" i="5"/>
  <c r="M753" i="5" s="1"/>
  <c r="L751" i="5"/>
  <c r="M751" i="5" s="1"/>
  <c r="L749" i="5"/>
  <c r="M749" i="5" s="1"/>
  <c r="L746" i="5"/>
  <c r="L745" i="5" s="1"/>
  <c r="M745" i="5" s="1"/>
  <c r="L741" i="5"/>
  <c r="M741" i="5" s="1"/>
  <c r="L739" i="5"/>
  <c r="L736" i="5"/>
  <c r="L734" i="5"/>
  <c r="M734" i="5" s="1"/>
  <c r="L732" i="5"/>
  <c r="L730" i="5"/>
  <c r="M730" i="5" s="1"/>
  <c r="L728" i="5"/>
  <c r="M728" i="5" s="1"/>
  <c r="L726" i="5"/>
  <c r="M726" i="5" s="1"/>
  <c r="L724" i="5"/>
  <c r="M724" i="5" s="1"/>
  <c r="L722" i="5"/>
  <c r="M722" i="5" s="1"/>
  <c r="L720" i="5"/>
  <c r="M720" i="5" s="1"/>
  <c r="L714" i="5"/>
  <c r="M714" i="5" s="1"/>
  <c r="L710" i="5"/>
  <c r="L709" i="5" s="1"/>
  <c r="L708" i="5" s="1"/>
  <c r="M708" i="5" s="1"/>
  <c r="L706" i="5"/>
  <c r="L705" i="5" s="1"/>
  <c r="L704" i="5" s="1"/>
  <c r="M704" i="5" s="1"/>
  <c r="L701" i="5"/>
  <c r="M701" i="5" s="1"/>
  <c r="L696" i="5"/>
  <c r="L694" i="5"/>
  <c r="L689" i="5"/>
  <c r="M689" i="5" s="1"/>
  <c r="L687" i="5"/>
  <c r="L684" i="5"/>
  <c r="M684" i="5" s="1"/>
  <c r="L680" i="5"/>
  <c r="L677" i="5"/>
  <c r="L676" i="5" s="1"/>
  <c r="M676" i="5" s="1"/>
  <c r="L674" i="5"/>
  <c r="M674" i="5" s="1"/>
  <c r="L672" i="5"/>
  <c r="M672" i="5" s="1"/>
  <c r="L670" i="5"/>
  <c r="L663" i="5"/>
  <c r="L662" i="5" s="1"/>
  <c r="L661" i="5" s="1"/>
  <c r="L660" i="5" s="1"/>
  <c r="L659" i="5" s="1"/>
  <c r="L658" i="5" s="1"/>
  <c r="M658" i="5" s="1"/>
  <c r="L655" i="5"/>
  <c r="L654" i="5" s="1"/>
  <c r="L653" i="5" s="1"/>
  <c r="L652" i="5" s="1"/>
  <c r="L651" i="5" s="1"/>
  <c r="L650" i="5" s="1"/>
  <c r="L648" i="5"/>
  <c r="L647" i="5" s="1"/>
  <c r="L646" i="5" s="1"/>
  <c r="L645" i="5" s="1"/>
  <c r="L644" i="5" s="1"/>
  <c r="M644" i="5" s="1"/>
  <c r="L641" i="5"/>
  <c r="L640" i="5" s="1"/>
  <c r="L639" i="5" s="1"/>
  <c r="L638" i="5" s="1"/>
  <c r="L637" i="5" s="1"/>
  <c r="L636" i="5" s="1"/>
  <c r="M636" i="5" s="1"/>
  <c r="L634" i="5"/>
  <c r="L633" i="5" s="1"/>
  <c r="L632" i="5" s="1"/>
  <c r="L631" i="5" s="1"/>
  <c r="L630" i="5" s="1"/>
  <c r="L629" i="5" s="1"/>
  <c r="M629" i="5" s="1"/>
  <c r="L627" i="5"/>
  <c r="L626" i="5" s="1"/>
  <c r="M626" i="5" s="1"/>
  <c r="L624" i="5"/>
  <c r="M624" i="5" s="1"/>
  <c r="L618" i="5"/>
  <c r="L614" i="5"/>
  <c r="M614" i="5" s="1"/>
  <c r="L611" i="5"/>
  <c r="L605" i="5"/>
  <c r="L604" i="5" s="1"/>
  <c r="L603" i="5" s="1"/>
  <c r="L602" i="5" s="1"/>
  <c r="L601" i="5" s="1"/>
  <c r="L598" i="5"/>
  <c r="L597" i="5" s="1"/>
  <c r="L596" i="5" s="1"/>
  <c r="L595" i="5" s="1"/>
  <c r="L594" i="5" s="1"/>
  <c r="M594" i="5" s="1"/>
  <c r="L590" i="5"/>
  <c r="L589" i="5" s="1"/>
  <c r="L588" i="5" s="1"/>
  <c r="L587" i="5" s="1"/>
  <c r="L586" i="5" s="1"/>
  <c r="L585" i="5" s="1"/>
  <c r="L583" i="5"/>
  <c r="L582" i="5" s="1"/>
  <c r="L581" i="5" s="1"/>
  <c r="L580" i="5" s="1"/>
  <c r="L579" i="5" s="1"/>
  <c r="L578" i="5" s="1"/>
  <c r="M578" i="5" s="1"/>
  <c r="L576" i="5"/>
  <c r="L575" i="5" s="1"/>
  <c r="L574" i="5" s="1"/>
  <c r="L573" i="5" s="1"/>
  <c r="L572" i="5" s="1"/>
  <c r="L570" i="5"/>
  <c r="L569" i="5" s="1"/>
  <c r="L568" i="5" s="1"/>
  <c r="L567" i="5" s="1"/>
  <c r="L566" i="5" s="1"/>
  <c r="M566" i="5" s="1"/>
  <c r="L564" i="5"/>
  <c r="L563" i="5" s="1"/>
  <c r="L562" i="5" s="1"/>
  <c r="L560" i="5"/>
  <c r="L559" i="5" s="1"/>
  <c r="L558" i="5" s="1"/>
  <c r="M558" i="5" s="1"/>
  <c r="L555" i="5"/>
  <c r="L554" i="5" s="1"/>
  <c r="M554" i="5" s="1"/>
  <c r="L552" i="5"/>
  <c r="M552" i="5" s="1"/>
  <c r="L548" i="5"/>
  <c r="L545" i="5"/>
  <c r="L543" i="5"/>
  <c r="M543" i="5" s="1"/>
  <c r="L535" i="5"/>
  <c r="L534" i="5" s="1"/>
  <c r="L533" i="5" s="1"/>
  <c r="L532" i="5" s="1"/>
  <c r="L531" i="5" s="1"/>
  <c r="L530" i="5" s="1"/>
  <c r="M530" i="5" s="1"/>
  <c r="L528" i="5"/>
  <c r="L527" i="5" s="1"/>
  <c r="L526" i="5" s="1"/>
  <c r="L525" i="5" s="1"/>
  <c r="L524" i="5" s="1"/>
  <c r="L523" i="5" s="1"/>
  <c r="L521" i="5"/>
  <c r="L520" i="5" s="1"/>
  <c r="L519" i="5" s="1"/>
  <c r="L518" i="5" s="1"/>
  <c r="L517" i="5" s="1"/>
  <c r="L515" i="5"/>
  <c r="L514" i="5" s="1"/>
  <c r="L513" i="5" s="1"/>
  <c r="L510" i="5"/>
  <c r="M510" i="5" s="1"/>
  <c r="L506" i="5"/>
  <c r="M506" i="5" s="1"/>
  <c r="L502" i="5"/>
  <c r="M502" i="5" s="1"/>
  <c r="L498" i="5"/>
  <c r="L492" i="5"/>
  <c r="L488" i="5"/>
  <c r="L484" i="5"/>
  <c r="M484" i="5" s="1"/>
  <c r="L482" i="5"/>
  <c r="M482" i="5" s="1"/>
  <c r="L480" i="5"/>
  <c r="M480" i="5" s="1"/>
  <c r="L478" i="5"/>
  <c r="M478" i="5" s="1"/>
  <c r="L474" i="5"/>
  <c r="L471" i="5"/>
  <c r="L468" i="5"/>
  <c r="L466" i="5"/>
  <c r="M466" i="5" s="1"/>
  <c r="L462" i="5"/>
  <c r="M462" i="5" s="1"/>
  <c r="L458" i="5"/>
  <c r="M458" i="5" s="1"/>
  <c r="L454" i="5"/>
  <c r="L449" i="5"/>
  <c r="L448" i="5" s="1"/>
  <c r="L447" i="5" s="1"/>
  <c r="L446" i="5" s="1"/>
  <c r="L441" i="5"/>
  <c r="L439" i="5"/>
  <c r="M439" i="5" s="1"/>
  <c r="L437" i="5"/>
  <c r="L431" i="5"/>
  <c r="L430" i="5" s="1"/>
  <c r="L429" i="5" s="1"/>
  <c r="L428" i="5" s="1"/>
  <c r="L427" i="5" s="1"/>
  <c r="M427" i="5" s="1"/>
  <c r="L424" i="5"/>
  <c r="L423" i="5" s="1"/>
  <c r="L422" i="5" s="1"/>
  <c r="L421" i="5" s="1"/>
  <c r="L420" i="5" s="1"/>
  <c r="M420" i="5" s="1"/>
  <c r="L418" i="5"/>
  <c r="M418" i="5" s="1"/>
  <c r="L416" i="5"/>
  <c r="M416" i="5" s="1"/>
  <c r="L414" i="5"/>
  <c r="L412" i="5"/>
  <c r="M412" i="5" s="1"/>
  <c r="L409" i="5"/>
  <c r="L403" i="5"/>
  <c r="M403" i="5" s="1"/>
  <c r="L401" i="5"/>
  <c r="M401" i="5" s="1"/>
  <c r="L399" i="5"/>
  <c r="L392" i="5"/>
  <c r="M392" i="5" s="1"/>
  <c r="L381" i="5"/>
  <c r="L380" i="5" s="1"/>
  <c r="L374" i="5"/>
  <c r="L373" i="5" s="1"/>
  <c r="L372" i="5" s="1"/>
  <c r="L371" i="5" s="1"/>
  <c r="L370" i="5" s="1"/>
  <c r="L369" i="5" s="1"/>
  <c r="M369" i="5" s="1"/>
  <c r="L366" i="5"/>
  <c r="L365" i="5" s="1"/>
  <c r="L364" i="5" s="1"/>
  <c r="L363" i="5" s="1"/>
  <c r="L362" i="5" s="1"/>
  <c r="L361" i="5" s="1"/>
  <c r="M361" i="5" s="1"/>
  <c r="L359" i="5"/>
  <c r="L358" i="5" s="1"/>
  <c r="L357" i="5" s="1"/>
  <c r="L356" i="5" s="1"/>
  <c r="L355" i="5" s="1"/>
  <c r="L354" i="5" s="1"/>
  <c r="M354" i="5" s="1"/>
  <c r="L352" i="5"/>
  <c r="L351" i="5" s="1"/>
  <c r="L350" i="5" s="1"/>
  <c r="L349" i="5" s="1"/>
  <c r="L348" i="5" s="1"/>
  <c r="M348" i="5" s="1"/>
  <c r="L345" i="5"/>
  <c r="M345" i="5" s="1"/>
  <c r="L341" i="5"/>
  <c r="M341" i="5" s="1"/>
  <c r="L337" i="5"/>
  <c r="M337" i="5" s="1"/>
  <c r="L329" i="5"/>
  <c r="L328" i="5" s="1"/>
  <c r="L327" i="5" s="1"/>
  <c r="L326" i="5" s="1"/>
  <c r="L325" i="5" s="1"/>
  <c r="M325" i="5" s="1"/>
  <c r="L323" i="5"/>
  <c r="L322" i="5" s="1"/>
  <c r="L321" i="5" s="1"/>
  <c r="L320" i="5" s="1"/>
  <c r="L319" i="5" s="1"/>
  <c r="M319" i="5" s="1"/>
  <c r="L316" i="5"/>
  <c r="L315" i="5" s="1"/>
  <c r="L314" i="5" s="1"/>
  <c r="L313" i="5" s="1"/>
  <c r="L312" i="5" s="1"/>
  <c r="L311" i="5" s="1"/>
  <c r="M311" i="5" s="1"/>
  <c r="L309" i="5"/>
  <c r="L308" i="5" s="1"/>
  <c r="L302" i="5"/>
  <c r="L301" i="5" s="1"/>
  <c r="L300" i="5" s="1"/>
  <c r="L299" i="5" s="1"/>
  <c r="L298" i="5" s="1"/>
  <c r="L297" i="5" s="1"/>
  <c r="L294" i="5"/>
  <c r="L293" i="5" s="1"/>
  <c r="L292" i="5" s="1"/>
  <c r="L295" i="5"/>
  <c r="L290" i="5"/>
  <c r="L289" i="5" s="1"/>
  <c r="L288" i="5" s="1"/>
  <c r="L287" i="5" s="1"/>
  <c r="M287" i="5" s="1"/>
  <c r="L284" i="5"/>
  <c r="L283" i="5" s="1"/>
  <c r="L282" i="5" s="1"/>
  <c r="L281" i="5" s="1"/>
  <c r="L280" i="5" s="1"/>
  <c r="M280" i="5" s="1"/>
  <c r="L278" i="5"/>
  <c r="L277" i="5" s="1"/>
  <c r="L276" i="5" s="1"/>
  <c r="L275" i="5" s="1"/>
  <c r="M275" i="5" s="1"/>
  <c r="L272" i="5"/>
  <c r="L271" i="5" s="1"/>
  <c r="L270" i="5" s="1"/>
  <c r="L269" i="5" s="1"/>
  <c r="L268" i="5" s="1"/>
  <c r="L266" i="5"/>
  <c r="L265" i="5" s="1"/>
  <c r="L264" i="5" s="1"/>
  <c r="L262" i="5"/>
  <c r="M262" i="5" s="1"/>
  <c r="L260" i="5"/>
  <c r="L259" i="5" s="1"/>
  <c r="L258" i="5" s="1"/>
  <c r="L257" i="5" s="1"/>
  <c r="M257" i="5" s="1"/>
  <c r="L254" i="5"/>
  <c r="L253" i="5" s="1"/>
  <c r="L252" i="5" s="1"/>
  <c r="L250" i="5"/>
  <c r="L249" i="5" s="1"/>
  <c r="L242" i="5"/>
  <c r="L241" i="5" s="1"/>
  <c r="L240" i="5" s="1"/>
  <c r="L239" i="5" s="1"/>
  <c r="M239" i="5" s="1"/>
  <c r="L235" i="5"/>
  <c r="L234" i="5" s="1"/>
  <c r="L233" i="5" s="1"/>
  <c r="L232" i="5" s="1"/>
  <c r="L231" i="5" s="1"/>
  <c r="L230" i="5" s="1"/>
  <c r="L227" i="5"/>
  <c r="L226" i="5" s="1"/>
  <c r="L225" i="5" s="1"/>
  <c r="L224" i="5" s="1"/>
  <c r="M224" i="5" s="1"/>
  <c r="L222" i="5"/>
  <c r="L221" i="5" s="1"/>
  <c r="L220" i="5" s="1"/>
  <c r="L219" i="5" s="1"/>
  <c r="L218" i="5" s="1"/>
  <c r="M218" i="5" s="1"/>
  <c r="L216" i="5"/>
  <c r="M216" i="5" s="1"/>
  <c r="L214" i="5"/>
  <c r="L213" i="5" s="1"/>
  <c r="L212" i="5" s="1"/>
  <c r="M212" i="5" s="1"/>
  <c r="L210" i="5"/>
  <c r="L209" i="5" s="1"/>
  <c r="L208" i="5" s="1"/>
  <c r="L207" i="5" s="1"/>
  <c r="M207" i="5" s="1"/>
  <c r="L203" i="5"/>
  <c r="L202" i="5" s="1"/>
  <c r="L201" i="5" s="1"/>
  <c r="L200" i="5" s="1"/>
  <c r="M200" i="5" s="1"/>
  <c r="L204" i="5"/>
  <c r="M204" i="5" s="1"/>
  <c r="L197" i="5"/>
  <c r="L196" i="5" s="1"/>
  <c r="L195" i="5" s="1"/>
  <c r="L194" i="5" s="1"/>
  <c r="L193" i="5" s="1"/>
  <c r="L192" i="5" s="1"/>
  <c r="M192" i="5" s="1"/>
  <c r="L190" i="5"/>
  <c r="L189" i="5" s="1"/>
  <c r="L188" i="5" s="1"/>
  <c r="L187" i="5" s="1"/>
  <c r="L186" i="5" s="1"/>
  <c r="L185" i="5" s="1"/>
  <c r="M185" i="5" s="1"/>
  <c r="L183" i="5"/>
  <c r="L182" i="5" s="1"/>
  <c r="L181" i="5" s="1"/>
  <c r="M181" i="5" s="1"/>
  <c r="L179" i="5"/>
  <c r="L178" i="5" s="1"/>
  <c r="L177" i="5" s="1"/>
  <c r="L174" i="5"/>
  <c r="L173" i="5" s="1"/>
  <c r="L171" i="5"/>
  <c r="L170" i="5" s="1"/>
  <c r="M170" i="5" s="1"/>
  <c r="L167" i="5"/>
  <c r="L166" i="5" s="1"/>
  <c r="L165" i="5" s="1"/>
  <c r="L162" i="5"/>
  <c r="L161" i="5" s="1"/>
  <c r="L160" i="5" s="1"/>
  <c r="L159" i="5" s="1"/>
  <c r="M159" i="5" s="1"/>
  <c r="L156" i="5"/>
  <c r="L155" i="5" s="1"/>
  <c r="M155" i="5" s="1"/>
  <c r="L153" i="5"/>
  <c r="L152" i="5" s="1"/>
  <c r="M152" i="5" s="1"/>
  <c r="L150" i="5"/>
  <c r="L149" i="5" s="1"/>
  <c r="M149" i="5" s="1"/>
  <c r="L143" i="5"/>
  <c r="L142" i="5" s="1"/>
  <c r="L141" i="5" s="1"/>
  <c r="L140" i="5" s="1"/>
  <c r="L139" i="5" s="1"/>
  <c r="M139" i="5" s="1"/>
  <c r="L137" i="5"/>
  <c r="L135" i="5"/>
  <c r="L129" i="5"/>
  <c r="L128" i="5" s="1"/>
  <c r="L127" i="5" s="1"/>
  <c r="L126" i="5" s="1"/>
  <c r="L125" i="5" s="1"/>
  <c r="M125" i="5" s="1"/>
  <c r="L123" i="5"/>
  <c r="M123" i="5" s="1"/>
  <c r="L121" i="5"/>
  <c r="L117" i="5"/>
  <c r="L116" i="5" s="1"/>
  <c r="L113" i="5"/>
  <c r="L112" i="5" s="1"/>
  <c r="M112" i="5" s="1"/>
  <c r="L109" i="5"/>
  <c r="L108" i="5" s="1"/>
  <c r="L107" i="5" s="1"/>
  <c r="L106" i="5" s="1"/>
  <c r="M106" i="5" s="1"/>
  <c r="L104" i="5"/>
  <c r="L103" i="5" s="1"/>
  <c r="L99" i="5"/>
  <c r="L98" i="5" s="1"/>
  <c r="L97" i="5" s="1"/>
  <c r="M97" i="5" s="1"/>
  <c r="L94" i="5"/>
  <c r="M94" i="5" s="1"/>
  <c r="L88" i="5"/>
  <c r="L87" i="5" s="1"/>
  <c r="M87" i="5" s="1"/>
  <c r="L81" i="5"/>
  <c r="L80" i="5" s="1"/>
  <c r="L76" i="5"/>
  <c r="L75" i="5" s="1"/>
  <c r="L74" i="5" s="1"/>
  <c r="L73" i="5" s="1"/>
  <c r="L70" i="5"/>
  <c r="M70" i="5" s="1"/>
  <c r="L65" i="5"/>
  <c r="M65" i="5" s="1"/>
  <c r="L59" i="5"/>
  <c r="M59" i="5" s="1"/>
  <c r="L56" i="5"/>
  <c r="M49" i="5"/>
  <c r="L43" i="5"/>
  <c r="L39" i="5"/>
  <c r="L38" i="5" s="1"/>
  <c r="L37" i="5" s="1"/>
  <c r="L36" i="5" s="1"/>
  <c r="M36" i="5" s="1"/>
  <c r="L33" i="5"/>
  <c r="L32" i="5" s="1"/>
  <c r="L31" i="5" s="1"/>
  <c r="L30" i="5" s="1"/>
  <c r="M30" i="5" s="1"/>
  <c r="L25" i="5"/>
  <c r="L24" i="5" s="1"/>
  <c r="L23" i="5" s="1"/>
  <c r="L22" i="5" s="1"/>
  <c r="L21" i="5" s="1"/>
  <c r="L20" i="5" s="1"/>
  <c r="L1329" i="5" l="1"/>
  <c r="L1328" i="5" s="1"/>
  <c r="L1327" i="5" s="1"/>
  <c r="L1326" i="5" s="1"/>
  <c r="M1326" i="5" s="1"/>
  <c r="M1329" i="5"/>
  <c r="M1330" i="5"/>
  <c r="L1300" i="5"/>
  <c r="L1295" i="5"/>
  <c r="M1295" i="5" s="1"/>
  <c r="M1296" i="5"/>
  <c r="M1297" i="5"/>
  <c r="M1287" i="5"/>
  <c r="M1286" i="5"/>
  <c r="M1289" i="5"/>
  <c r="M1285" i="5"/>
  <c r="M1288" i="5"/>
  <c r="L1281" i="5"/>
  <c r="M1281" i="5" s="1"/>
  <c r="M1279" i="5"/>
  <c r="M1276" i="5"/>
  <c r="L1265" i="5"/>
  <c r="M1251" i="5"/>
  <c r="M1250" i="5"/>
  <c r="M1253" i="5"/>
  <c r="M1252" i="5"/>
  <c r="L1223" i="5"/>
  <c r="L1222" i="5" s="1"/>
  <c r="L1221" i="5" s="1"/>
  <c r="L1220" i="5" s="1"/>
  <c r="M1220" i="5" s="1"/>
  <c r="M1222" i="5"/>
  <c r="M1221" i="5"/>
  <c r="M1224" i="5"/>
  <c r="M1223" i="5"/>
  <c r="M1218" i="5"/>
  <c r="M1217" i="5"/>
  <c r="L1213" i="5"/>
  <c r="L1212" i="5" s="1"/>
  <c r="M1212" i="5" s="1"/>
  <c r="M1213" i="5"/>
  <c r="M1209" i="5"/>
  <c r="M1206" i="5"/>
  <c r="M1201" i="5"/>
  <c r="M1195" i="5"/>
  <c r="M1193" i="5"/>
  <c r="M1192" i="5"/>
  <c r="M1194" i="5"/>
  <c r="M1186" i="5"/>
  <c r="M1185" i="5"/>
  <c r="M1188" i="5"/>
  <c r="M1184" i="5"/>
  <c r="M1187" i="5"/>
  <c r="L1178" i="5"/>
  <c r="L1177" i="5" s="1"/>
  <c r="L1176" i="5" s="1"/>
  <c r="M1176" i="5" s="1"/>
  <c r="M1178" i="5"/>
  <c r="M1177" i="5"/>
  <c r="M1168" i="5"/>
  <c r="M1170" i="5"/>
  <c r="M1169" i="5"/>
  <c r="M1164" i="5"/>
  <c r="M1163" i="5"/>
  <c r="L1150" i="5"/>
  <c r="L1111" i="5"/>
  <c r="L1110" i="5" s="1"/>
  <c r="M1110" i="5" s="1"/>
  <c r="M1111" i="5"/>
  <c r="M1098" i="5"/>
  <c r="M1097" i="5"/>
  <c r="M1096" i="5"/>
  <c r="M1095" i="5"/>
  <c r="L1076" i="5"/>
  <c r="M1059" i="5"/>
  <c r="M1058" i="5"/>
  <c r="M1057" i="5"/>
  <c r="M1060" i="5"/>
  <c r="L1053" i="5"/>
  <c r="L1052" i="5" s="1"/>
  <c r="L1051" i="5" s="1"/>
  <c r="M1046" i="5"/>
  <c r="M1047" i="5"/>
  <c r="L1042" i="5"/>
  <c r="L1035" i="5"/>
  <c r="L1034" i="5" s="1"/>
  <c r="M1023" i="5"/>
  <c r="M994" i="5"/>
  <c r="M995" i="5"/>
  <c r="M992" i="5"/>
  <c r="M993" i="5"/>
  <c r="M983" i="5"/>
  <c r="M982" i="5"/>
  <c r="M976" i="5"/>
  <c r="L965" i="5"/>
  <c r="M961" i="5"/>
  <c r="M954" i="5"/>
  <c r="M946" i="5"/>
  <c r="M945" i="5"/>
  <c r="M944" i="5"/>
  <c r="M947" i="5"/>
  <c r="M943" i="5"/>
  <c r="M936" i="5"/>
  <c r="M935" i="5"/>
  <c r="M934" i="5"/>
  <c r="M937" i="5"/>
  <c r="M933" i="5"/>
  <c r="L929" i="5"/>
  <c r="M914" i="5"/>
  <c r="M915" i="5"/>
  <c r="L910" i="5"/>
  <c r="M906" i="5"/>
  <c r="L898" i="5"/>
  <c r="M898" i="5" s="1"/>
  <c r="M899" i="5"/>
  <c r="L858" i="5"/>
  <c r="M859" i="5"/>
  <c r="L849" i="5"/>
  <c r="M843" i="5"/>
  <c r="M842" i="5"/>
  <c r="M841" i="5"/>
  <c r="M844" i="5"/>
  <c r="M837" i="5"/>
  <c r="L836" i="5"/>
  <c r="M836" i="5" s="1"/>
  <c r="M838" i="5"/>
  <c r="L825" i="5"/>
  <c r="M826" i="5"/>
  <c r="M827" i="5"/>
  <c r="M822" i="5"/>
  <c r="M820" i="5"/>
  <c r="M817" i="5"/>
  <c r="L811" i="5"/>
  <c r="M806" i="5"/>
  <c r="M805" i="5"/>
  <c r="M802" i="5"/>
  <c r="M801" i="5"/>
  <c r="L789" i="5"/>
  <c r="L788" i="5" s="1"/>
  <c r="L783" i="5"/>
  <c r="M783" i="5" s="1"/>
  <c r="M784" i="5"/>
  <c r="M781" i="5"/>
  <c r="M746" i="5"/>
  <c r="L738" i="5"/>
  <c r="L713" i="5"/>
  <c r="M710" i="5"/>
  <c r="M709" i="5"/>
  <c r="M706" i="5"/>
  <c r="M705" i="5"/>
  <c r="L700" i="5"/>
  <c r="L699" i="5" s="1"/>
  <c r="L698" i="5" s="1"/>
  <c r="M698" i="5" s="1"/>
  <c r="M700" i="5"/>
  <c r="L693" i="5"/>
  <c r="L692" i="5" s="1"/>
  <c r="L691" i="5" s="1"/>
  <c r="L686" i="5"/>
  <c r="L679" i="5"/>
  <c r="M677" i="5"/>
  <c r="M663" i="5"/>
  <c r="M659" i="5"/>
  <c r="M662" i="5"/>
  <c r="M661" i="5"/>
  <c r="M660" i="5"/>
  <c r="M647" i="5"/>
  <c r="M646" i="5"/>
  <c r="M645" i="5"/>
  <c r="M648" i="5"/>
  <c r="M641" i="5"/>
  <c r="M637" i="5"/>
  <c r="M640" i="5"/>
  <c r="M639" i="5"/>
  <c r="M638" i="5"/>
  <c r="M631" i="5"/>
  <c r="M634" i="5"/>
  <c r="M630" i="5"/>
  <c r="M633" i="5"/>
  <c r="M632" i="5"/>
  <c r="M627" i="5"/>
  <c r="L617" i="5"/>
  <c r="M617" i="5" s="1"/>
  <c r="M618" i="5"/>
  <c r="L610" i="5"/>
  <c r="M610" i="5" s="1"/>
  <c r="M611" i="5"/>
  <c r="M596" i="5"/>
  <c r="M595" i="5"/>
  <c r="M598" i="5"/>
  <c r="M597" i="5"/>
  <c r="M580" i="5"/>
  <c r="M583" i="5"/>
  <c r="M579" i="5"/>
  <c r="M582" i="5"/>
  <c r="M581" i="5"/>
  <c r="M570" i="5"/>
  <c r="M569" i="5"/>
  <c r="M568" i="5"/>
  <c r="M567" i="5"/>
  <c r="M560" i="5"/>
  <c r="M559" i="5"/>
  <c r="M555" i="5"/>
  <c r="L547" i="5"/>
  <c r="M533" i="5"/>
  <c r="M532" i="5"/>
  <c r="M535" i="5"/>
  <c r="M531" i="5"/>
  <c r="M534" i="5"/>
  <c r="L487" i="5"/>
  <c r="L486" i="5"/>
  <c r="M488" i="5"/>
  <c r="L436" i="5"/>
  <c r="L435" i="5" s="1"/>
  <c r="L434" i="5" s="1"/>
  <c r="L433" i="5" s="1"/>
  <c r="M437" i="5"/>
  <c r="M429" i="5"/>
  <c r="M428" i="5"/>
  <c r="M431" i="5"/>
  <c r="M430" i="5"/>
  <c r="M424" i="5"/>
  <c r="M423" i="5"/>
  <c r="M422" i="5"/>
  <c r="M421" i="5"/>
  <c r="L408" i="5"/>
  <c r="L407" i="5" s="1"/>
  <c r="L406" i="5" s="1"/>
  <c r="L405" i="5" s="1"/>
  <c r="M409" i="5"/>
  <c r="L398" i="5"/>
  <c r="L397" i="5" s="1"/>
  <c r="L396" i="5" s="1"/>
  <c r="L395" i="5" s="1"/>
  <c r="L394" i="5" s="1"/>
  <c r="L387" i="5"/>
  <c r="L379" i="5" s="1"/>
  <c r="L378" i="5" s="1"/>
  <c r="L377" i="5" s="1"/>
  <c r="L376" i="5" s="1"/>
  <c r="M381" i="5"/>
  <c r="M380" i="5"/>
  <c r="M372" i="5"/>
  <c r="M371" i="5"/>
  <c r="M374" i="5"/>
  <c r="M370" i="5"/>
  <c r="M373" i="5"/>
  <c r="M366" i="5"/>
  <c r="M362" i="5"/>
  <c r="M365" i="5"/>
  <c r="M364" i="5"/>
  <c r="M363" i="5"/>
  <c r="M356" i="5"/>
  <c r="M359" i="5"/>
  <c r="M355" i="5"/>
  <c r="M358" i="5"/>
  <c r="M357" i="5"/>
  <c r="M351" i="5"/>
  <c r="M350" i="5"/>
  <c r="M349" i="5"/>
  <c r="M352" i="5"/>
  <c r="L340" i="5"/>
  <c r="L336" i="5"/>
  <c r="M327" i="5"/>
  <c r="M326" i="5"/>
  <c r="M329" i="5"/>
  <c r="M328" i="5"/>
  <c r="M321" i="5"/>
  <c r="M320" i="5"/>
  <c r="M323" i="5"/>
  <c r="M322" i="5"/>
  <c r="M315" i="5"/>
  <c r="M314" i="5"/>
  <c r="M313" i="5"/>
  <c r="M316" i="5"/>
  <c r="M312" i="5"/>
  <c r="L307" i="5"/>
  <c r="M308" i="5"/>
  <c r="M309" i="5"/>
  <c r="M290" i="5"/>
  <c r="M289" i="5"/>
  <c r="M288" i="5"/>
  <c r="M282" i="5"/>
  <c r="M281" i="5"/>
  <c r="M284" i="5"/>
  <c r="M283" i="5"/>
  <c r="M277" i="5"/>
  <c r="M276" i="5"/>
  <c r="M278" i="5"/>
  <c r="M259" i="5"/>
  <c r="M258" i="5"/>
  <c r="M260" i="5"/>
  <c r="L248" i="5"/>
  <c r="M249" i="5"/>
  <c r="M250" i="5"/>
  <c r="M242" i="5"/>
  <c r="M241" i="5"/>
  <c r="M240" i="5"/>
  <c r="M227" i="5"/>
  <c r="M226" i="5"/>
  <c r="M225" i="5"/>
  <c r="M219" i="5"/>
  <c r="M222" i="5"/>
  <c r="M221" i="5"/>
  <c r="M220" i="5"/>
  <c r="M214" i="5"/>
  <c r="M213" i="5"/>
  <c r="M210" i="5"/>
  <c r="M209" i="5"/>
  <c r="M208" i="5"/>
  <c r="M203" i="5"/>
  <c r="M202" i="5"/>
  <c r="M201" i="5"/>
  <c r="M194" i="5"/>
  <c r="M197" i="5"/>
  <c r="M193" i="5"/>
  <c r="M196" i="5"/>
  <c r="M195" i="5"/>
  <c r="M188" i="5"/>
  <c r="M187" i="5"/>
  <c r="M190" i="5"/>
  <c r="M186" i="5"/>
  <c r="M189" i="5"/>
  <c r="M183" i="5"/>
  <c r="M182" i="5"/>
  <c r="M171" i="5"/>
  <c r="M162" i="5"/>
  <c r="M161" i="5"/>
  <c r="M160" i="5"/>
  <c r="M156" i="5"/>
  <c r="M153" i="5"/>
  <c r="M150" i="5"/>
  <c r="M140" i="5"/>
  <c r="M143" i="5"/>
  <c r="M142" i="5"/>
  <c r="M141" i="5"/>
  <c r="L134" i="5"/>
  <c r="L133" i="5" s="1"/>
  <c r="L132" i="5" s="1"/>
  <c r="M129" i="5"/>
  <c r="M128" i="5"/>
  <c r="M127" i="5"/>
  <c r="M126" i="5"/>
  <c r="L120" i="5"/>
  <c r="L119" i="5" s="1"/>
  <c r="M119" i="5" s="1"/>
  <c r="M121" i="5"/>
  <c r="M120" i="5"/>
  <c r="M113" i="5"/>
  <c r="M108" i="5"/>
  <c r="M107" i="5"/>
  <c r="M109" i="5"/>
  <c r="L102" i="5"/>
  <c r="M103" i="5"/>
  <c r="M104" i="5"/>
  <c r="M99" i="5"/>
  <c r="M98" i="5"/>
  <c r="L93" i="5"/>
  <c r="M93" i="5" s="1"/>
  <c r="M88" i="5"/>
  <c r="L69" i="5"/>
  <c r="L64" i="5"/>
  <c r="L55" i="5"/>
  <c r="M55" i="5" s="1"/>
  <c r="M56" i="5"/>
  <c r="L42" i="5"/>
  <c r="M39" i="5"/>
  <c r="M38" i="5"/>
  <c r="M37" i="5"/>
  <c r="M33" i="5"/>
  <c r="M32" i="5"/>
  <c r="M31" i="5"/>
  <c r="L1312" i="5"/>
  <c r="L1235" i="5"/>
  <c r="L1211" i="5"/>
  <c r="M1211" i="5" s="1"/>
  <c r="L1199" i="5"/>
  <c r="L1153" i="5"/>
  <c r="L1115" i="5"/>
  <c r="L1114" i="5" s="1"/>
  <c r="L1109" i="5" s="1"/>
  <c r="L1085" i="5"/>
  <c r="L1050" i="5"/>
  <c r="M1050" i="5" s="1"/>
  <c r="L1015" i="5"/>
  <c r="L999" i="5"/>
  <c r="L998" i="5" s="1"/>
  <c r="L974" i="5"/>
  <c r="L952" i="5"/>
  <c r="L879" i="5"/>
  <c r="L867" i="5"/>
  <c r="L831" i="5"/>
  <c r="L810" i="5"/>
  <c r="L809" i="5" s="1"/>
  <c r="L795" i="5"/>
  <c r="L757" i="5"/>
  <c r="L748" i="5"/>
  <c r="L719" i="5"/>
  <c r="M719" i="5" s="1"/>
  <c r="L703" i="5"/>
  <c r="M703" i="5" s="1"/>
  <c r="L669" i="5"/>
  <c r="L609" i="5"/>
  <c r="L542" i="5"/>
  <c r="L497" i="5"/>
  <c r="L473" i="5"/>
  <c r="L453" i="5"/>
  <c r="L318" i="5"/>
  <c r="M318" i="5" s="1"/>
  <c r="L286" i="5"/>
  <c r="L274" i="5"/>
  <c r="M274" i="5" s="1"/>
  <c r="L256" i="5"/>
  <c r="L206" i="5"/>
  <c r="M206" i="5" s="1"/>
  <c r="L176" i="5"/>
  <c r="L169" i="5"/>
  <c r="L164" i="5"/>
  <c r="L148" i="5"/>
  <c r="L131" i="5"/>
  <c r="L111" i="5"/>
  <c r="L92" i="5"/>
  <c r="M92" i="5" s="1"/>
  <c r="L79" i="5"/>
  <c r="M1327" i="5" l="1"/>
  <c r="M1328" i="5"/>
  <c r="L1311" i="5"/>
  <c r="L1299" i="5"/>
  <c r="L1264" i="5"/>
  <c r="L1263" i="5" s="1"/>
  <c r="L1234" i="5"/>
  <c r="M1235" i="5"/>
  <c r="L1198" i="5"/>
  <c r="M1199" i="5"/>
  <c r="L1166" i="5"/>
  <c r="M1166" i="5" s="1"/>
  <c r="L1149" i="5"/>
  <c r="M1150" i="5"/>
  <c r="L1075" i="5"/>
  <c r="L1041" i="5"/>
  <c r="M1042" i="5"/>
  <c r="L1014" i="5"/>
  <c r="L964" i="5"/>
  <c r="L951" i="5"/>
  <c r="M952" i="5"/>
  <c r="L928" i="5"/>
  <c r="M929" i="5"/>
  <c r="L909" i="5"/>
  <c r="L848" i="5"/>
  <c r="L847" i="5" s="1"/>
  <c r="L824" i="5"/>
  <c r="M824" i="5" s="1"/>
  <c r="M825" i="5"/>
  <c r="L808" i="5"/>
  <c r="L712" i="5"/>
  <c r="M712" i="5" s="1"/>
  <c r="M713" i="5"/>
  <c r="M699" i="5"/>
  <c r="L668" i="5"/>
  <c r="L667" i="5" s="1"/>
  <c r="L608" i="5"/>
  <c r="M609" i="5"/>
  <c r="L541" i="5"/>
  <c r="L496" i="5"/>
  <c r="L452" i="5"/>
  <c r="L426" i="5"/>
  <c r="L339" i="5"/>
  <c r="M339" i="5" s="1"/>
  <c r="M340" i="5"/>
  <c r="L335" i="5"/>
  <c r="M336" i="5"/>
  <c r="L306" i="5"/>
  <c r="M307" i="5"/>
  <c r="L247" i="5"/>
  <c r="M248" i="5"/>
  <c r="L199" i="5"/>
  <c r="M199" i="5" s="1"/>
  <c r="L158" i="5"/>
  <c r="L147" i="5"/>
  <c r="M148" i="5"/>
  <c r="L101" i="5"/>
  <c r="M101" i="5" s="1"/>
  <c r="M102" i="5"/>
  <c r="L78" i="5"/>
  <c r="L68" i="5"/>
  <c r="M69" i="5"/>
  <c r="L63" i="5"/>
  <c r="M64" i="5"/>
  <c r="L41" i="5"/>
  <c r="L35" i="5" s="1"/>
  <c r="L718" i="5"/>
  <c r="L1310" i="5" l="1"/>
  <c r="L1294" i="5"/>
  <c r="L1258" i="5"/>
  <c r="L1257" i="5" s="1"/>
  <c r="L1256" i="5" s="1"/>
  <c r="L1233" i="5"/>
  <c r="M1234" i="5"/>
  <c r="L1197" i="5"/>
  <c r="M1198" i="5"/>
  <c r="L1148" i="5"/>
  <c r="M1149" i="5"/>
  <c r="L1070" i="5"/>
  <c r="M1041" i="5"/>
  <c r="L1040" i="5"/>
  <c r="M1040" i="5" s="1"/>
  <c r="L1013" i="5"/>
  <c r="L959" i="5"/>
  <c r="L950" i="5" s="1"/>
  <c r="M951" i="5"/>
  <c r="L927" i="5"/>
  <c r="M927" i="5" s="1"/>
  <c r="M928" i="5"/>
  <c r="L908" i="5"/>
  <c r="L717" i="5"/>
  <c r="L666" i="5"/>
  <c r="L607" i="5"/>
  <c r="M608" i="5"/>
  <c r="L540" i="5"/>
  <c r="L451" i="5"/>
  <c r="L368" i="5"/>
  <c r="L334" i="5"/>
  <c r="M335" i="5"/>
  <c r="L305" i="5"/>
  <c r="M305" i="5" s="1"/>
  <c r="M306" i="5"/>
  <c r="M247" i="5"/>
  <c r="L238" i="5"/>
  <c r="L146" i="5"/>
  <c r="M147" i="5"/>
  <c r="L72" i="5"/>
  <c r="L67" i="5"/>
  <c r="M67" i="5" s="1"/>
  <c r="M68" i="5"/>
  <c r="L62" i="5"/>
  <c r="M63" i="5"/>
  <c r="L1309" i="5" l="1"/>
  <c r="L1293" i="5"/>
  <c r="L1232" i="5"/>
  <c r="M1233" i="5"/>
  <c r="M1197" i="5"/>
  <c r="L1190" i="5"/>
  <c r="M1148" i="5"/>
  <c r="L1101" i="5"/>
  <c r="L1100" i="5" s="1"/>
  <c r="L1064" i="5"/>
  <c r="L1012" i="5"/>
  <c r="L949" i="5"/>
  <c r="L846" i="5"/>
  <c r="L716" i="5"/>
  <c r="M607" i="5"/>
  <c r="L600" i="5"/>
  <c r="L593" i="5" s="1"/>
  <c r="L539" i="5"/>
  <c r="L445" i="5"/>
  <c r="L444" i="5" s="1"/>
  <c r="L443" i="5" s="1"/>
  <c r="M334" i="5"/>
  <c r="L333" i="5"/>
  <c r="L237" i="5"/>
  <c r="M146" i="5"/>
  <c r="L145" i="5"/>
  <c r="M62" i="5"/>
  <c r="L29" i="5"/>
  <c r="K191" i="5"/>
  <c r="K89" i="5"/>
  <c r="L1308" i="5" l="1"/>
  <c r="L1292" i="5"/>
  <c r="L1231" i="5"/>
  <c r="M1232" i="5"/>
  <c r="M1190" i="5"/>
  <c r="L1182" i="5"/>
  <c r="M1182" i="5" s="1"/>
  <c r="L1063" i="5"/>
  <c r="L997" i="5"/>
  <c r="L941" i="5" s="1"/>
  <c r="L665" i="5"/>
  <c r="L643" i="5" s="1"/>
  <c r="L538" i="5"/>
  <c r="L332" i="5"/>
  <c r="M333" i="5"/>
  <c r="L28" i="5"/>
  <c r="L1291" i="5" l="1"/>
  <c r="L1230" i="5"/>
  <c r="M1230" i="5" s="1"/>
  <c r="M1231" i="5"/>
  <c r="L1049" i="5"/>
  <c r="L537" i="5"/>
  <c r="L331" i="5"/>
  <c r="M331" i="5" s="1"/>
  <c r="M332" i="5"/>
  <c r="L19" i="5" l="1"/>
  <c r="K44" i="5"/>
  <c r="K687" i="5" l="1"/>
  <c r="K1307" i="5" l="1"/>
  <c r="K750" i="5"/>
  <c r="K1298" i="5"/>
  <c r="K404" i="5"/>
  <c r="K807" i="5"/>
  <c r="K1241" i="5"/>
  <c r="K291" i="5"/>
  <c r="K642" i="5" l="1"/>
  <c r="K124" i="5"/>
  <c r="K1330" i="5" l="1"/>
  <c r="K1081" i="5"/>
  <c r="K889" i="5"/>
  <c r="K774" i="5"/>
  <c r="M774" i="5" s="1"/>
  <c r="K734" i="5" l="1"/>
  <c r="K729" i="5"/>
  <c r="K728" i="5" s="1"/>
  <c r="K725" i="5"/>
  <c r="K724" i="5" s="1"/>
  <c r="K685" i="5"/>
  <c r="K684" i="5" s="1"/>
  <c r="K673" i="5" l="1"/>
  <c r="K672" i="5" s="1"/>
  <c r="K413" i="5"/>
  <c r="K412" i="5" s="1"/>
  <c r="K411" i="5"/>
  <c r="K410" i="5"/>
  <c r="K409" i="5" l="1"/>
  <c r="K754" i="5"/>
  <c r="K753" i="5" s="1"/>
  <c r="K752" i="5"/>
  <c r="K751" i="5" s="1"/>
  <c r="K749" i="5"/>
  <c r="K803" i="5" l="1"/>
  <c r="K707" i="5" l="1"/>
  <c r="K900" i="5"/>
  <c r="K885" i="5"/>
  <c r="K711" i="5"/>
  <c r="K482" i="5"/>
  <c r="K330" i="5"/>
  <c r="K110" i="5"/>
  <c r="K598" i="5" l="1"/>
  <c r="K597" i="5" s="1"/>
  <c r="K596" i="5" s="1"/>
  <c r="K595" i="5" s="1"/>
  <c r="K594" i="5" s="1"/>
  <c r="K243" i="5" l="1"/>
  <c r="K122" i="5" l="1"/>
  <c r="K419" i="5" l="1"/>
  <c r="K95" i="5" l="1"/>
  <c r="K144" i="5"/>
  <c r="K1025" i="5" l="1"/>
  <c r="K1017" i="5"/>
  <c r="K675" i="5"/>
  <c r="K1164" i="5"/>
  <c r="K1163" i="5" s="1"/>
  <c r="K1162" i="5" s="1"/>
  <c r="K715" i="5"/>
  <c r="K135" i="5"/>
  <c r="K747" i="5" l="1"/>
  <c r="K678" i="5"/>
  <c r="K386" i="5" l="1"/>
  <c r="K1189" i="5"/>
  <c r="K217" i="5" l="1"/>
  <c r="K1302" i="5"/>
  <c r="K771" i="5" l="1"/>
  <c r="K902" i="5"/>
  <c r="K878" i="5"/>
  <c r="K939" i="5"/>
  <c r="K940" i="5"/>
  <c r="K894" i="5"/>
  <c r="K1134" i="5"/>
  <c r="K250" i="5"/>
  <c r="K249" i="5" s="1"/>
  <c r="K248" i="5" s="1"/>
  <c r="K247" i="5" s="1"/>
  <c r="K223" i="5"/>
  <c r="K620" i="5"/>
  <c r="K619" i="5"/>
  <c r="K985" i="5" l="1"/>
  <c r="K100" i="5"/>
  <c r="K1048" i="5"/>
  <c r="K470" i="5" l="1"/>
  <c r="K402" i="5"/>
  <c r="K440" i="5"/>
  <c r="K1180" i="5" l="1"/>
  <c r="K1181" i="5"/>
  <c r="K417" i="5" l="1"/>
  <c r="K828" i="5" l="1"/>
  <c r="K683" i="5" l="1"/>
  <c r="K1152" i="5" l="1"/>
  <c r="K861" i="5"/>
  <c r="K812" i="5"/>
  <c r="M812" i="5" s="1"/>
  <c r="K721" i="5"/>
  <c r="K733" i="5"/>
  <c r="K70" i="5"/>
  <c r="K69" i="5" s="1"/>
  <c r="K68" i="5" s="1"/>
  <c r="K67" i="5" s="1"/>
  <c r="K163" i="5"/>
  <c r="K1242" i="5" l="1"/>
  <c r="K815" i="5" l="1"/>
  <c r="K830" i="5"/>
  <c r="K229" i="5"/>
  <c r="K228" i="5"/>
  <c r="K570" i="5" l="1"/>
  <c r="K569" i="5" s="1"/>
  <c r="K568" i="5" s="1"/>
  <c r="K567" i="5" s="1"/>
  <c r="K566" i="5" s="1"/>
  <c r="K1132" i="5" l="1"/>
  <c r="K1131" i="5" s="1"/>
  <c r="K839" i="5" l="1"/>
  <c r="K798" i="5"/>
  <c r="K797" i="5" l="1"/>
  <c r="M798" i="5"/>
  <c r="K1044" i="5"/>
  <c r="K796" i="5" l="1"/>
  <c r="M796" i="5" s="1"/>
  <c r="M797" i="5"/>
  <c r="K96" i="5"/>
  <c r="K853" i="5" l="1"/>
  <c r="K963" i="5"/>
  <c r="K925" i="5"/>
  <c r="K821" i="5" l="1"/>
  <c r="K670" i="5" l="1"/>
  <c r="M670" i="5" s="1"/>
  <c r="K690" i="5"/>
  <c r="K272" i="5" l="1"/>
  <c r="K215" i="5"/>
  <c r="K271" i="5" l="1"/>
  <c r="M272" i="5"/>
  <c r="K1147" i="5"/>
  <c r="K1143" i="5" s="1"/>
  <c r="M1143" i="5" s="1"/>
  <c r="K862" i="5"/>
  <c r="K270" i="5" l="1"/>
  <c r="M271" i="5"/>
  <c r="K515" i="5"/>
  <c r="K514" i="5" l="1"/>
  <c r="M515" i="5"/>
  <c r="K269" i="5"/>
  <c r="M270" i="5"/>
  <c r="K121" i="5"/>
  <c r="K513" i="5" l="1"/>
  <c r="M513" i="5" s="1"/>
  <c r="M514" i="5"/>
  <c r="K268" i="5"/>
  <c r="M268" i="5" s="1"/>
  <c r="M269" i="5"/>
  <c r="K1138" i="5"/>
  <c r="K53" i="5"/>
  <c r="K50" i="5"/>
  <c r="K504" i="5" l="1"/>
  <c r="K882" i="5"/>
  <c r="K845" i="5"/>
  <c r="K744" i="5"/>
  <c r="K743" i="5"/>
  <c r="K86" i="5" l="1"/>
  <c r="K82" i="5"/>
  <c r="K1125" i="5"/>
  <c r="K1122" i="5"/>
  <c r="K915" i="5"/>
  <c r="K663" i="5"/>
  <c r="K662" i="5" s="1"/>
  <c r="K661" i="5" s="1"/>
  <c r="K660" i="5" s="1"/>
  <c r="K659" i="5" s="1"/>
  <c r="K658" i="5" s="1"/>
  <c r="K768" i="5"/>
  <c r="K649" i="5" l="1"/>
  <c r="K1171" i="5" l="1"/>
  <c r="K536" i="5" l="1"/>
  <c r="K459" i="5"/>
  <c r="K726" i="5" l="1"/>
  <c r="K278" i="5" l="1"/>
  <c r="K277" i="5" s="1"/>
  <c r="K276" i="5" s="1"/>
  <c r="K275" i="5" s="1"/>
  <c r="K184" i="5"/>
  <c r="K439" i="5" l="1"/>
  <c r="K1135" i="5" l="1"/>
  <c r="K737" i="5" l="1"/>
  <c r="K1277" i="5" l="1"/>
  <c r="K722" i="5"/>
  <c r="K731" i="5"/>
  <c r="K382" i="5" l="1"/>
  <c r="K344" i="5" l="1"/>
  <c r="K342" i="5"/>
  <c r="K886" i="5" l="1"/>
  <c r="K172" i="5" l="1"/>
  <c r="K1009" i="5" l="1"/>
  <c r="K383" i="5"/>
  <c r="K1316" i="5" l="1"/>
  <c r="K1321" i="5"/>
  <c r="K346" i="5" l="1"/>
  <c r="K592" i="5" l="1"/>
  <c r="K561" i="5"/>
  <c r="K730" i="5"/>
  <c r="K511" i="5"/>
  <c r="K507" i="5"/>
  <c r="K503" i="5"/>
  <c r="K463" i="5"/>
  <c r="K829" i="5"/>
  <c r="K814" i="5"/>
  <c r="K811" i="5" s="1"/>
  <c r="M811" i="5" s="1"/>
  <c r="K793" i="5"/>
  <c r="K787" i="5" l="1"/>
  <c r="K907" i="5"/>
  <c r="K906" i="5" s="1"/>
  <c r="K905" i="5" s="1"/>
  <c r="K1297" i="5" l="1"/>
  <c r="K1296" i="5" s="1"/>
  <c r="K1295" i="5" s="1"/>
  <c r="K912" i="5"/>
  <c r="K367" i="5"/>
  <c r="K343" i="5"/>
  <c r="K971" i="5" l="1"/>
  <c r="K873" i="5"/>
  <c r="K818" i="5" l="1"/>
  <c r="K214" i="5" l="1"/>
  <c r="K418" i="5" l="1"/>
  <c r="K806" i="5" l="1"/>
  <c r="K805" i="5" s="1"/>
  <c r="K804" i="5" s="1"/>
  <c r="K45" i="5" l="1"/>
  <c r="K123" i="5" l="1"/>
  <c r="K120" i="5" l="1"/>
  <c r="K119" i="5" s="1"/>
  <c r="K1203" i="5"/>
  <c r="K1018" i="5"/>
  <c r="K955" i="5"/>
  <c r="K544" i="5"/>
  <c r="K455" i="5"/>
  <c r="K432" i="5"/>
  <c r="K34" i="5"/>
  <c r="K556" i="5" l="1"/>
  <c r="K557" i="5"/>
  <c r="K648" i="5" l="1"/>
  <c r="K647" i="5" s="1"/>
  <c r="K646" i="5" s="1"/>
  <c r="K645" i="5" s="1"/>
  <c r="K644" i="5" s="1"/>
  <c r="K785" i="5" l="1"/>
  <c r="K784" i="5" s="1"/>
  <c r="K1267" i="5" l="1"/>
  <c r="K1237" i="5"/>
  <c r="K1225" i="5"/>
  <c r="K1202" i="5"/>
  <c r="K1024" i="5"/>
  <c r="K628" i="5"/>
  <c r="K549" i="5"/>
  <c r="K499" i="5"/>
  <c r="K489" i="5"/>
  <c r="K114" i="5"/>
  <c r="K931" i="5" l="1"/>
  <c r="K1210" i="5" l="1"/>
  <c r="K977" i="5"/>
  <c r="K967" i="5"/>
  <c r="K759" i="5"/>
  <c r="K876" i="5"/>
  <c r="K930" i="5"/>
  <c r="K929" i="5" s="1"/>
  <c r="K928" i="5" s="1"/>
  <c r="K927" i="5" s="1"/>
  <c r="K1215" i="5"/>
  <c r="K1214" i="5" s="1"/>
  <c r="K1213" i="5" s="1"/>
  <c r="K1212" i="5" s="1"/>
  <c r="K1219" i="5" l="1"/>
  <c r="K390" i="5" l="1"/>
  <c r="K431" i="5" l="1"/>
  <c r="K430" i="5" s="1"/>
  <c r="K429" i="5" s="1"/>
  <c r="K428" i="5" s="1"/>
  <c r="K427" i="5" s="1"/>
  <c r="K244" i="5" l="1"/>
  <c r="K115" i="5"/>
  <c r="K1112" i="5" l="1"/>
  <c r="K1111" i="5" s="1"/>
  <c r="K1110" i="5" s="1"/>
  <c r="K441" i="5" l="1"/>
  <c r="M441" i="5" s="1"/>
  <c r="K786" i="5" l="1"/>
  <c r="K783" i="5" s="1"/>
  <c r="K958" i="5" l="1"/>
  <c r="K590" i="5"/>
  <c r="M590" i="5" s="1"/>
  <c r="K66" i="5" l="1"/>
  <c r="K1306" i="5" l="1"/>
  <c r="K1305" i="5" s="1"/>
  <c r="K1304" i="5" s="1"/>
  <c r="K1301" i="5"/>
  <c r="K911" i="5"/>
  <c r="K910" i="5" s="1"/>
  <c r="K909" i="5" s="1"/>
  <c r="K1300" i="5" l="1"/>
  <c r="M1301" i="5"/>
  <c r="K1315" i="5"/>
  <c r="K1299" i="5" l="1"/>
  <c r="M1300" i="5"/>
  <c r="K157" i="5"/>
  <c r="M1299" i="5" l="1"/>
  <c r="K1294" i="5"/>
  <c r="M1294" i="5" s="1"/>
  <c r="K823" i="5"/>
  <c r="K1073" i="5" l="1"/>
  <c r="K1072" i="5" s="1"/>
  <c r="K1071" i="5" s="1"/>
  <c r="K438" i="5" l="1"/>
  <c r="K1011" i="5" l="1"/>
  <c r="K1007" i="5" s="1"/>
  <c r="M1007" i="5" s="1"/>
  <c r="K689" i="5" l="1"/>
  <c r="K686" i="5" s="1"/>
  <c r="M686" i="5" s="1"/>
  <c r="K1238" i="5"/>
  <c r="K1247" i="5"/>
  <c r="K1254" i="5"/>
  <c r="K1253" i="5" s="1"/>
  <c r="K1252" i="5" s="1"/>
  <c r="K1251" i="5" s="1"/>
  <c r="K1250" i="5" s="1"/>
  <c r="K1249" i="5" s="1"/>
  <c r="K1245" i="5"/>
  <c r="K1068" i="5" l="1"/>
  <c r="K1067" i="5" s="1"/>
  <c r="K1066" i="5" s="1"/>
  <c r="K1065" i="5" s="1"/>
  <c r="K777" i="5" l="1"/>
  <c r="K480" i="5"/>
  <c r="K478" i="5"/>
  <c r="K1079" i="5" l="1"/>
  <c r="K1083" i="5"/>
  <c r="K1088" i="5"/>
  <c r="K1087" i="5" s="1"/>
  <c r="K1086" i="5" s="1"/>
  <c r="K1092" i="5"/>
  <c r="K1091" i="5" s="1"/>
  <c r="K1090" i="5" s="1"/>
  <c r="K656" i="5"/>
  <c r="K467" i="5"/>
  <c r="K1268" i="5"/>
  <c r="K1236" i="5"/>
  <c r="K1226" i="5"/>
  <c r="K1077" i="5"/>
  <c r="K1076" i="5" s="1"/>
  <c r="K1085" i="5" l="1"/>
  <c r="K1075" i="5"/>
  <c r="K1070" i="5" l="1"/>
  <c r="K1064" i="5"/>
  <c r="K550" i="5"/>
  <c r="K918" i="5" l="1"/>
  <c r="K914" i="5" s="1"/>
  <c r="K171" i="5" l="1"/>
  <c r="K957" i="5" l="1"/>
  <c r="K956" i="5" s="1"/>
  <c r="K1020" i="5" l="1"/>
  <c r="K605" i="5" l="1"/>
  <c r="K604" i="5" l="1"/>
  <c r="K701" i="5"/>
  <c r="K700" i="5" s="1"/>
  <c r="K699" i="5" s="1"/>
  <c r="K698" i="5" s="1"/>
  <c r="K603" i="5" l="1"/>
  <c r="K1151" i="5"/>
  <c r="K1150" i="5" s="1"/>
  <c r="K1149" i="5" s="1"/>
  <c r="K1148" i="5" s="1"/>
  <c r="K602" i="5" l="1"/>
  <c r="K772" i="5"/>
  <c r="K601" i="5" l="1"/>
  <c r="K903" i="5"/>
  <c r="K309" i="5" l="1"/>
  <c r="K308" i="5" s="1"/>
  <c r="K307" i="5" s="1"/>
  <c r="K306" i="5" s="1"/>
  <c r="K305" i="5" s="1"/>
  <c r="K528" i="5" l="1"/>
  <c r="K527" i="5" l="1"/>
  <c r="K290" i="5"/>
  <c r="K289" i="5" s="1"/>
  <c r="K288" i="5" s="1"/>
  <c r="K287" i="5" s="1"/>
  <c r="K526" i="5" l="1"/>
  <c r="K266" i="5"/>
  <c r="K525" i="5" l="1"/>
  <c r="K265" i="5"/>
  <c r="K1240" i="5"/>
  <c r="K1235" i="5" s="1"/>
  <c r="K524" i="5" l="1"/>
  <c r="K264" i="5"/>
  <c r="K1324" i="5"/>
  <c r="K1322" i="5"/>
  <c r="K523" i="5" l="1"/>
  <c r="K641" i="5"/>
  <c r="K640" i="5" s="1"/>
  <c r="K639" i="5" s="1"/>
  <c r="K638" i="5" s="1"/>
  <c r="K637" i="5" s="1"/>
  <c r="K636" i="5" s="1"/>
  <c r="K59" i="5" l="1"/>
  <c r="K1234" i="5" l="1"/>
  <c r="K1233" i="5" s="1"/>
  <c r="K1232" i="5" s="1"/>
  <c r="K1231" i="5" s="1"/>
  <c r="K1230" i="5" s="1"/>
  <c r="K43" i="5" l="1"/>
  <c r="M43" i="5" s="1"/>
  <c r="K736" i="5" l="1"/>
  <c r="K295" i="5" l="1"/>
  <c r="K294" i="5" l="1"/>
  <c r="K1261" i="5"/>
  <c r="K1260" i="5" l="1"/>
  <c r="K293" i="5"/>
  <c r="K510" i="5"/>
  <c r="K1259" i="5" l="1"/>
  <c r="K292" i="5"/>
  <c r="K1038" i="5"/>
  <c r="K850" i="5"/>
  <c r="K286" i="5" l="1"/>
  <c r="M286" i="5" s="1"/>
  <c r="K399" i="5"/>
  <c r="K174" i="5"/>
  <c r="K173" i="5" l="1"/>
  <c r="K227" i="5"/>
  <c r="K226" i="5" s="1"/>
  <c r="K225" i="5" s="1"/>
  <c r="K224" i="5" s="1"/>
  <c r="K822" i="5" l="1"/>
  <c r="K776" i="5" l="1"/>
  <c r="K170" i="5" l="1"/>
  <c r="K169" i="5" s="1"/>
  <c r="M169" i="5" s="1"/>
  <c r="K655" i="5" l="1"/>
  <c r="K654" i="5" l="1"/>
  <c r="M654" i="5" s="1"/>
  <c r="M655" i="5"/>
  <c r="K302" i="5"/>
  <c r="M302" i="5" s="1"/>
  <c r="K1273" i="5" l="1"/>
  <c r="K1271" i="5"/>
  <c r="K1228" i="5"/>
  <c r="K627" i="5"/>
  <c r="K626" i="5" s="1"/>
  <c r="K552" i="5"/>
  <c r="K1289" i="5" l="1"/>
  <c r="K1288" i="5" s="1"/>
  <c r="K1287" i="5" s="1"/>
  <c r="K1286" i="5" s="1"/>
  <c r="K1285" i="5" s="1"/>
  <c r="K1284" i="5" s="1"/>
  <c r="K1195" i="5"/>
  <c r="K1194" i="5" s="1"/>
  <c r="K1193" i="5" s="1"/>
  <c r="K1192" i="5" s="1"/>
  <c r="K1191" i="5" s="1"/>
  <c r="K1098" i="5"/>
  <c r="K1097" i="5" s="1"/>
  <c r="K1096" i="5" s="1"/>
  <c r="K1095" i="5" s="1"/>
  <c r="K1094" i="5" s="1"/>
  <c r="K1063" i="5" s="1"/>
  <c r="M1063" i="5" s="1"/>
  <c r="K1174" i="5"/>
  <c r="K995" i="5"/>
  <c r="K994" i="5" s="1"/>
  <c r="K993" i="5" s="1"/>
  <c r="K992" i="5" s="1"/>
  <c r="K991" i="5" s="1"/>
  <c r="K844" i="5"/>
  <c r="K843" i="5" s="1"/>
  <c r="K842" i="5" s="1"/>
  <c r="K841" i="5" s="1"/>
  <c r="K840" i="5" s="1"/>
  <c r="K583" i="5"/>
  <c r="K582" i="5" s="1"/>
  <c r="K581" i="5" s="1"/>
  <c r="K580" i="5" s="1"/>
  <c r="K579" i="5" s="1"/>
  <c r="K578" i="5" s="1"/>
  <c r="K535" i="5"/>
  <c r="K534" i="5" s="1"/>
  <c r="K533" i="5" s="1"/>
  <c r="K532" i="5" s="1"/>
  <c r="K531" i="5" s="1"/>
  <c r="K530" i="5" s="1"/>
  <c r="K392" i="5"/>
  <c r="K366" i="5"/>
  <c r="K365" i="5" s="1"/>
  <c r="K364" i="5" s="1"/>
  <c r="K363" i="5" s="1"/>
  <c r="K362" i="5" s="1"/>
  <c r="K361" i="5" s="1"/>
  <c r="K359" i="5"/>
  <c r="K358" i="5" s="1"/>
  <c r="K357" i="5" s="1"/>
  <c r="K356" i="5" s="1"/>
  <c r="K355" i="5" s="1"/>
  <c r="K354" i="5" s="1"/>
  <c r="K352" i="5"/>
  <c r="K351" i="5" s="1"/>
  <c r="K350" i="5" s="1"/>
  <c r="K349" i="5" s="1"/>
  <c r="K348" i="5" s="1"/>
  <c r="K90" i="5"/>
  <c r="K874" i="5" l="1"/>
  <c r="M874" i="5" s="1"/>
  <c r="K893" i="5"/>
  <c r="K877" i="5"/>
  <c r="K403" i="5" l="1"/>
  <c r="K899" i="5"/>
  <c r="K618" i="5" l="1"/>
  <c r="K560" i="5"/>
  <c r="K559" i="5" s="1"/>
  <c r="K558" i="5" s="1"/>
  <c r="K462" i="5"/>
  <c r="K39" i="5"/>
  <c r="K38" i="5" s="1"/>
  <c r="K37" i="5" s="1"/>
  <c r="K36" i="5" s="1"/>
  <c r="K468" i="5" l="1"/>
  <c r="M468" i="5" s="1"/>
  <c r="K979" i="5" l="1"/>
  <c r="K989" i="5"/>
  <c r="K988" i="5" l="1"/>
  <c r="K978" i="5"/>
  <c r="K1036" i="5"/>
  <c r="K1035" i="5" l="1"/>
  <c r="K167" i="5"/>
  <c r="K1034" i="5" l="1"/>
  <c r="M1034" i="5" s="1"/>
  <c r="M1035" i="5"/>
  <c r="K166" i="5"/>
  <c r="K781" i="5"/>
  <c r="K780" i="5" s="1"/>
  <c r="K766" i="5"/>
  <c r="K165" i="5" l="1"/>
  <c r="K374" i="5"/>
  <c r="K373" i="5" s="1"/>
  <c r="K372" i="5" s="1"/>
  <c r="K371" i="5" s="1"/>
  <c r="K370" i="5" s="1"/>
  <c r="K369" i="5" s="1"/>
  <c r="K164" i="5" l="1"/>
  <c r="M164" i="5" s="1"/>
  <c r="K714" i="5"/>
  <c r="K713" i="5" s="1"/>
  <c r="K712" i="5" s="1"/>
  <c r="K564" i="5" l="1"/>
  <c r="K563" i="5" l="1"/>
  <c r="K216" i="5"/>
  <c r="K562" i="5" l="1"/>
  <c r="K213" i="5"/>
  <c r="K212" i="5" s="1"/>
  <c r="K401" i="5"/>
  <c r="K398" i="5" s="1"/>
  <c r="M398" i="5" s="1"/>
  <c r="K397" i="5" l="1"/>
  <c r="K416" i="5"/>
  <c r="K396" i="5" l="1"/>
  <c r="M397" i="5"/>
  <c r="K739" i="5"/>
  <c r="K437" i="5"/>
  <c r="K436" i="5" s="1"/>
  <c r="M436" i="5" s="1"/>
  <c r="K778" i="5"/>
  <c r="M778" i="5" s="1"/>
  <c r="K1127" i="5"/>
  <c r="K395" i="5" l="1"/>
  <c r="M395" i="5" s="1"/>
  <c r="M396" i="5"/>
  <c r="K1002" i="5"/>
  <c r="K190" i="5" l="1"/>
  <c r="K189" i="5" s="1"/>
  <c r="K188" i="5" s="1"/>
  <c r="K187" i="5" s="1"/>
  <c r="K186" i="5" s="1"/>
  <c r="K185" i="5" s="1"/>
  <c r="K1032" i="5" l="1"/>
  <c r="K1030" i="5" l="1"/>
  <c r="K1029" i="5" l="1"/>
  <c r="K764" i="5"/>
  <c r="K1028" i="5" l="1"/>
  <c r="M1028" i="5" s="1"/>
  <c r="M1029" i="5"/>
  <c r="K337" i="5"/>
  <c r="K336" i="5" s="1"/>
  <c r="K335" i="5" s="1"/>
  <c r="K334" i="5" s="1"/>
  <c r="K414" i="5" l="1"/>
  <c r="K408" i="5" l="1"/>
  <c r="K1206" i="5"/>
  <c r="K1205" i="5" s="1"/>
  <c r="K545" i="5"/>
  <c r="K407" i="5" l="1"/>
  <c r="M407" i="5" s="1"/>
  <c r="M408" i="5"/>
  <c r="K891" i="5"/>
  <c r="K471" i="5"/>
  <c r="K884" i="5" l="1"/>
  <c r="M884" i="5" s="1"/>
  <c r="K1107" i="5" l="1"/>
  <c r="K696" i="5"/>
  <c r="K634" i="5" l="1"/>
  <c r="K633" i="5" s="1"/>
  <c r="K632" i="5" s="1"/>
  <c r="K631" i="5" s="1"/>
  <c r="K630" i="5" s="1"/>
  <c r="K629" i="5" l="1"/>
  <c r="K624" i="5" s="1"/>
  <c r="K762" i="5" l="1"/>
  <c r="K1160" i="5" l="1"/>
  <c r="K1179" i="5"/>
  <c r="K1159" i="5" l="1"/>
  <c r="M1160" i="5"/>
  <c r="K589" i="5"/>
  <c r="M589" i="5" s="1"/>
  <c r="K1158" i="5" l="1"/>
  <c r="M1158" i="5" s="1"/>
  <c r="M1159" i="5"/>
  <c r="K588" i="5"/>
  <c r="M588" i="5" s="1"/>
  <c r="K222" i="5"/>
  <c r="K221" i="5" s="1"/>
  <c r="K220" i="5" s="1"/>
  <c r="K219" i="5" s="1"/>
  <c r="K218" i="5" s="1"/>
  <c r="K587" i="5" l="1"/>
  <c r="K923" i="5"/>
  <c r="M923" i="5" s="1"/>
  <c r="K586" i="5" l="1"/>
  <c r="M587" i="5"/>
  <c r="K852" i="5"/>
  <c r="K585" i="5" l="1"/>
  <c r="M585" i="5" s="1"/>
  <c r="M586" i="5"/>
  <c r="K88" i="5"/>
  <c r="K87" i="5" s="1"/>
  <c r="K435" i="5" l="1"/>
  <c r="K434" i="5" l="1"/>
  <c r="M435" i="5"/>
  <c r="K1178" i="5"/>
  <c r="K1177" i="5" s="1"/>
  <c r="K1176" i="5" s="1"/>
  <c r="K433" i="5" l="1"/>
  <c r="M434" i="5"/>
  <c r="K502" i="5"/>
  <c r="K426" i="5" l="1"/>
  <c r="M426" i="5" s="1"/>
  <c r="M433" i="5"/>
  <c r="K1319" i="5"/>
  <c r="K827" i="5" l="1"/>
  <c r="K826" i="5" s="1"/>
  <c r="K385" i="5" l="1"/>
  <c r="K1139" i="5" l="1"/>
  <c r="M1139" i="5" s="1"/>
  <c r="K406" i="5" l="1"/>
  <c r="K405" i="5" l="1"/>
  <c r="M405" i="5" s="1"/>
  <c r="M406" i="5"/>
  <c r="K825" i="5"/>
  <c r="K824" i="5" s="1"/>
  <c r="K1060" i="5"/>
  <c r="K1043" i="5" l="1"/>
  <c r="K1042" i="5" s="1"/>
  <c r="K1041" i="5" s="1"/>
  <c r="K1137" i="5" l="1"/>
  <c r="K449" i="5" l="1"/>
  <c r="K76" i="5"/>
  <c r="K75" i="5" s="1"/>
  <c r="K448" i="5" l="1"/>
  <c r="M449" i="5"/>
  <c r="K74" i="5"/>
  <c r="K73" i="5" s="1"/>
  <c r="K447" i="5" l="1"/>
  <c r="M448" i="5"/>
  <c r="K854" i="5"/>
  <c r="K849" i="5" l="1"/>
  <c r="M849" i="5" s="1"/>
  <c r="M854" i="5"/>
  <c r="K446" i="5"/>
  <c r="M446" i="5" s="1"/>
  <c r="M447" i="5"/>
  <c r="K947" i="5"/>
  <c r="K946" i="5" s="1"/>
  <c r="K945" i="5" s="1"/>
  <c r="K944" i="5" s="1"/>
  <c r="K943" i="5" s="1"/>
  <c r="K942" i="5" s="1"/>
  <c r="K262" i="5" l="1"/>
  <c r="K260" i="5" s="1"/>
  <c r="K259" i="5" l="1"/>
  <c r="K258" i="5" s="1"/>
  <c r="K257" i="5" s="1"/>
  <c r="K256" i="5" s="1"/>
  <c r="M256" i="5" s="1"/>
  <c r="K1209" i="5" l="1"/>
  <c r="K1208" i="5" s="1"/>
  <c r="K760" i="5"/>
  <c r="M760" i="5" s="1"/>
  <c r="K150" i="5"/>
  <c r="K149" i="5" s="1"/>
  <c r="K674" i="5" l="1"/>
  <c r="K669" i="5" s="1"/>
  <c r="M669" i="5" s="1"/>
  <c r="K94" i="5" l="1"/>
  <c r="K93" i="5" l="1"/>
  <c r="K301" i="5" l="1"/>
  <c r="K300" i="5" l="1"/>
  <c r="M301" i="5"/>
  <c r="K694" i="5"/>
  <c r="K693" i="5" l="1"/>
  <c r="M693" i="5" s="1"/>
  <c r="M694" i="5"/>
  <c r="K299" i="5"/>
  <c r="M300" i="5"/>
  <c r="K692" i="5"/>
  <c r="K691" i="5" l="1"/>
  <c r="M691" i="5" s="1"/>
  <c r="M692" i="5"/>
  <c r="K298" i="5"/>
  <c r="M299" i="5"/>
  <c r="K1118" i="5"/>
  <c r="M1118" i="5" s="1"/>
  <c r="K297" i="5" l="1"/>
  <c r="M297" i="5" s="1"/>
  <c r="M298" i="5"/>
  <c r="K732" i="5"/>
  <c r="K104" i="5" l="1"/>
  <c r="K103" i="5" s="1"/>
  <c r="K102" i="5" s="1"/>
  <c r="K101" i="5" s="1"/>
  <c r="K183" i="5"/>
  <c r="K182" i="5" s="1"/>
  <c r="K181" i="5" s="1"/>
  <c r="K1059" i="5" l="1"/>
  <c r="K1058" i="5" s="1"/>
  <c r="K1057" i="5" s="1"/>
  <c r="K1056" i="5" s="1"/>
  <c r="K954" i="5"/>
  <c r="K953" i="5" s="1"/>
  <c r="K952" i="5" s="1"/>
  <c r="K834" i="5"/>
  <c r="K706" i="5"/>
  <c r="K705" i="5" s="1"/>
  <c r="K704" i="5" s="1"/>
  <c r="K521" i="5"/>
  <c r="K833" i="5" l="1"/>
  <c r="M834" i="5"/>
  <c r="K520" i="5"/>
  <c r="K951" i="5"/>
  <c r="K137" i="5"/>
  <c r="K832" i="5" l="1"/>
  <c r="M832" i="5" s="1"/>
  <c r="M833" i="5"/>
  <c r="K519" i="5"/>
  <c r="K134" i="5"/>
  <c r="K133" i="5"/>
  <c r="K329" i="5"/>
  <c r="K328" i="5" s="1"/>
  <c r="K327" i="5" s="1"/>
  <c r="K326" i="5" s="1"/>
  <c r="K325" i="5" s="1"/>
  <c r="K518" i="5" l="1"/>
  <c r="K254" i="5"/>
  <c r="M254" i="5" s="1"/>
  <c r="K517" i="5" l="1"/>
  <c r="K863" i="5"/>
  <c r="M863" i="5" s="1"/>
  <c r="K791" i="5"/>
  <c r="K1218" i="5"/>
  <c r="K1217" i="5" s="1"/>
  <c r="K1047" i="5"/>
  <c r="K1046" i="5" s="1"/>
  <c r="K1045" i="5" s="1"/>
  <c r="K1040" i="5" s="1"/>
  <c r="K117" i="5"/>
  <c r="K790" i="5" l="1"/>
  <c r="M791" i="5"/>
  <c r="K116" i="5"/>
  <c r="M116" i="5" s="1"/>
  <c r="M117" i="5"/>
  <c r="K1216" i="5"/>
  <c r="K1211" i="5" s="1"/>
  <c r="K789" i="5" l="1"/>
  <c r="M790" i="5"/>
  <c r="K424" i="5"/>
  <c r="K423" i="5" s="1"/>
  <c r="K422" i="5" s="1"/>
  <c r="K421" i="5" s="1"/>
  <c r="K420" i="5" s="1"/>
  <c r="K394" i="5" s="1"/>
  <c r="M394" i="5" s="1"/>
  <c r="M789" i="5" l="1"/>
  <c r="K788" i="5"/>
  <c r="M788" i="5" s="1"/>
  <c r="K682" i="5"/>
  <c r="K1156" i="5" l="1"/>
  <c r="K1105" i="5"/>
  <c r="K838" i="5"/>
  <c r="K837" i="5" s="1"/>
  <c r="K836" i="5" s="1"/>
  <c r="K831" i="5" s="1"/>
  <c r="M831" i="5" s="1"/>
  <c r="K1155" i="5" l="1"/>
  <c r="M1156" i="5"/>
  <c r="K1104" i="5"/>
  <c r="M1104" i="5" s="1"/>
  <c r="M1105" i="5"/>
  <c r="K1103" i="5"/>
  <c r="K1154" i="5" l="1"/>
  <c r="M1155" i="5"/>
  <c r="K1102" i="5"/>
  <c r="M1102" i="5" s="1"/>
  <c r="M1103" i="5"/>
  <c r="K1055" i="5"/>
  <c r="K1153" i="5" l="1"/>
  <c r="M1153" i="5" s="1"/>
  <c r="M1154" i="5"/>
  <c r="K132" i="5"/>
  <c r="K1224" i="5" l="1"/>
  <c r="K1223" i="5" l="1"/>
  <c r="K1222" i="5" s="1"/>
  <c r="K1221" i="5" s="1"/>
  <c r="K1220" i="5" s="1"/>
  <c r="K895" i="5" l="1"/>
  <c r="M895" i="5" s="1"/>
  <c r="K49" i="5" l="1"/>
  <c r="K976" i="5" l="1"/>
  <c r="K975" i="5" s="1"/>
  <c r="K974" i="5" s="1"/>
  <c r="M974" i="5" s="1"/>
  <c r="K859" i="5" l="1"/>
  <c r="K858" i="5" l="1"/>
  <c r="M858" i="5" s="1"/>
  <c r="K1282" i="5"/>
  <c r="K1281" i="5" s="1"/>
  <c r="K99" i="5"/>
  <c r="K98" i="5" s="1"/>
  <c r="K97" i="5" s="1"/>
  <c r="K92" i="5" s="1"/>
  <c r="K1006" i="5"/>
  <c r="K1001" i="5"/>
  <c r="K210" i="5"/>
  <c r="K209" i="5" s="1"/>
  <c r="K208" i="5" s="1"/>
  <c r="K207" i="5" s="1"/>
  <c r="K206" i="5" s="1"/>
  <c r="K1005" i="5" l="1"/>
  <c r="M1005" i="5" s="1"/>
  <c r="M1006" i="5"/>
  <c r="K1000" i="5"/>
  <c r="K987" i="5"/>
  <c r="K999" i="5" l="1"/>
  <c r="K998" i="5" s="1"/>
  <c r="M998" i="5" s="1"/>
  <c r="K986" i="5"/>
  <c r="K984" i="5"/>
  <c r="K983" i="5" s="1"/>
  <c r="K982" i="5" s="1"/>
  <c r="K981" i="5" s="1"/>
  <c r="K710" i="5"/>
  <c r="K709" i="5" s="1"/>
  <c r="M999" i="5" l="1"/>
  <c r="K708" i="5"/>
  <c r="K703" i="5" s="1"/>
  <c r="K1054" i="5"/>
  <c r="K1053" i="5" s="1"/>
  <c r="K1052" i="5" s="1"/>
  <c r="K1051" i="5" s="1"/>
  <c r="K1050" i="5" s="1"/>
  <c r="K323" i="5"/>
  <c r="K322" i="5" s="1"/>
  <c r="K506" i="5" l="1"/>
  <c r="K492" i="5"/>
  <c r="M492" i="5" s="1"/>
  <c r="K466" i="5"/>
  <c r="K458" i="5"/>
  <c r="K52" i="5" l="1"/>
  <c r="K42" i="5" s="1"/>
  <c r="M42" i="5" s="1"/>
  <c r="K621" i="5" l="1"/>
  <c r="K617" i="5" s="1"/>
  <c r="K611" i="5" l="1"/>
  <c r="K614" i="5" l="1"/>
  <c r="K610" i="5" s="1"/>
  <c r="K609" i="5" s="1"/>
  <c r="K65" i="5" l="1"/>
  <c r="K64" i="5" s="1"/>
  <c r="K63" i="5" s="1"/>
  <c r="K62" i="5" s="1"/>
  <c r="K345" i="5"/>
  <c r="K901" i="5" l="1"/>
  <c r="K898" i="5" s="1"/>
  <c r="K1313" i="5" l="1"/>
  <c r="K1312" i="5" s="1"/>
  <c r="M1312" i="5" s="1"/>
  <c r="K1133" i="5"/>
  <c r="K143" i="5"/>
  <c r="K142" i="5" s="1"/>
  <c r="K141" i="5" s="1"/>
  <c r="K140" i="5" s="1"/>
  <c r="K972" i="5"/>
  <c r="K913" i="5"/>
  <c r="K817" i="5"/>
  <c r="K816" i="5" s="1"/>
  <c r="K770" i="5"/>
  <c r="K755" i="5"/>
  <c r="K741" i="5"/>
  <c r="K738" i="5" s="1"/>
  <c r="M738" i="5" s="1"/>
  <c r="K677" i="5"/>
  <c r="K676" i="5" s="1"/>
  <c r="K156" i="5"/>
  <c r="K155" i="5" s="1"/>
  <c r="K153" i="5"/>
  <c r="K152" i="5" s="1"/>
  <c r="K1279" i="5"/>
  <c r="K1278" i="5" s="1"/>
  <c r="K1276" i="5"/>
  <c r="K1275" i="5" s="1"/>
  <c r="K1188" i="5"/>
  <c r="K1187" i="5" s="1"/>
  <c r="K1186" i="5" s="1"/>
  <c r="K1185" i="5" s="1"/>
  <c r="K1142" i="5"/>
  <c r="K1129" i="5"/>
  <c r="K1123" i="5"/>
  <c r="K1116" i="5"/>
  <c r="M1116" i="5" s="1"/>
  <c r="K970" i="5"/>
  <c r="K968" i="5"/>
  <c r="K922" i="5"/>
  <c r="K820" i="5"/>
  <c r="K819" i="5" s="1"/>
  <c r="K802" i="5"/>
  <c r="K758" i="5"/>
  <c r="K680" i="5"/>
  <c r="K653" i="5"/>
  <c r="K284" i="5"/>
  <c r="K283" i="5" s="1"/>
  <c r="K282" i="5" s="1"/>
  <c r="K281" i="5" s="1"/>
  <c r="K280" i="5" s="1"/>
  <c r="K274" i="5" s="1"/>
  <c r="K179" i="5"/>
  <c r="K33" i="5"/>
  <c r="K32" i="5" s="1"/>
  <c r="K31" i="5" s="1"/>
  <c r="K30" i="5" s="1"/>
  <c r="K1141" i="5" l="1"/>
  <c r="M1141" i="5" s="1"/>
  <c r="M1142" i="5"/>
  <c r="K921" i="5"/>
  <c r="M921" i="5" s="1"/>
  <c r="M922" i="5"/>
  <c r="K748" i="5"/>
  <c r="M748" i="5" s="1"/>
  <c r="M755" i="5"/>
  <c r="K679" i="5"/>
  <c r="M679" i="5" s="1"/>
  <c r="M680" i="5"/>
  <c r="K652" i="5"/>
  <c r="M652" i="5" s="1"/>
  <c r="M653" i="5"/>
  <c r="K178" i="5"/>
  <c r="M179" i="5"/>
  <c r="K757" i="5"/>
  <c r="M757" i="5" s="1"/>
  <c r="K810" i="5"/>
  <c r="K1115" i="5"/>
  <c r="K908" i="5"/>
  <c r="M908" i="5" s="1"/>
  <c r="K148" i="5"/>
  <c r="K147" i="5" s="1"/>
  <c r="K801" i="5"/>
  <c r="K800" i="5" s="1"/>
  <c r="K795" i="5" s="1"/>
  <c r="M795" i="5" s="1"/>
  <c r="K139" i="5"/>
  <c r="K131" i="5" s="1"/>
  <c r="M131" i="5" s="1"/>
  <c r="K1293" i="5"/>
  <c r="K668" i="5"/>
  <c r="M668" i="5" s="1"/>
  <c r="K56" i="5"/>
  <c r="K55" i="5" s="1"/>
  <c r="K321" i="5"/>
  <c r="K320" i="5" s="1"/>
  <c r="K319" i="5" s="1"/>
  <c r="K318" i="5" s="1"/>
  <c r="K454" i="5"/>
  <c r="M454" i="5" s="1"/>
  <c r="K25" i="5"/>
  <c r="K1333" i="5"/>
  <c r="K197" i="5"/>
  <c r="K196" i="5" s="1"/>
  <c r="K195" i="5" s="1"/>
  <c r="K194" i="5" s="1"/>
  <c r="K193" i="5" s="1"/>
  <c r="K937" i="5"/>
  <c r="K936" i="5" s="1"/>
  <c r="K935" i="5" s="1"/>
  <c r="K934" i="5" s="1"/>
  <c r="K933" i="5" s="1"/>
  <c r="K932" i="5" s="1"/>
  <c r="K488" i="5"/>
  <c r="K109" i="5"/>
  <c r="K108" i="5" s="1"/>
  <c r="K107" i="5" s="1"/>
  <c r="K106" i="5" s="1"/>
  <c r="K253" i="5"/>
  <c r="K555" i="5"/>
  <c r="K554" i="5" s="1"/>
  <c r="K1266" i="5"/>
  <c r="K962" i="5"/>
  <c r="K961" i="5" s="1"/>
  <c r="K960" i="5" s="1"/>
  <c r="K880" i="5"/>
  <c r="K498" i="5"/>
  <c r="K746" i="5"/>
  <c r="K745" i="5" s="1"/>
  <c r="K388" i="5"/>
  <c r="K484" i="5"/>
  <c r="K316" i="5"/>
  <c r="K315" i="5" s="1"/>
  <c r="K314" i="5" s="1"/>
  <c r="K313" i="5" s="1"/>
  <c r="K312" i="5" s="1"/>
  <c r="K311" i="5" s="1"/>
  <c r="K871" i="5"/>
  <c r="M871" i="5" s="1"/>
  <c r="K543" i="5"/>
  <c r="K542" i="5" s="1"/>
  <c r="M542" i="5" s="1"/>
  <c r="K1184" i="5"/>
  <c r="K1183" i="5" s="1"/>
  <c r="K1336" i="5"/>
  <c r="K1329" i="5" s="1"/>
  <c r="K129" i="5"/>
  <c r="K128" i="5" s="1"/>
  <c r="K127" i="5" s="1"/>
  <c r="K126" i="5" s="1"/>
  <c r="K125" i="5" s="1"/>
  <c r="K162" i="5"/>
  <c r="K161" i="5" s="1"/>
  <c r="K160" i="5" s="1"/>
  <c r="K159" i="5" s="1"/>
  <c r="K242" i="5"/>
  <c r="K241" i="5" s="1"/>
  <c r="K548" i="5"/>
  <c r="K966" i="5"/>
  <c r="K965" i="5" s="1"/>
  <c r="K1016" i="5"/>
  <c r="K1170" i="5"/>
  <c r="K1169" i="5" s="1"/>
  <c r="K235" i="5"/>
  <c r="K576" i="5"/>
  <c r="K341" i="5"/>
  <c r="K381" i="5"/>
  <c r="K380" i="5" s="1"/>
  <c r="K474" i="5"/>
  <c r="M474" i="5" s="1"/>
  <c r="K868" i="5"/>
  <c r="K1201" i="5"/>
  <c r="K1200" i="5" s="1"/>
  <c r="K1292" i="5" l="1"/>
  <c r="M1292" i="5" s="1"/>
  <c r="M1293" i="5"/>
  <c r="K1265" i="5"/>
  <c r="M1265" i="5" s="1"/>
  <c r="M1266" i="5"/>
  <c r="K1114" i="5"/>
  <c r="M1115" i="5"/>
  <c r="K1015" i="5"/>
  <c r="M1015" i="5" s="1"/>
  <c r="M1016" i="5"/>
  <c r="K964" i="5"/>
  <c r="M964" i="5" s="1"/>
  <c r="M965" i="5"/>
  <c r="K879" i="5"/>
  <c r="M879" i="5" s="1"/>
  <c r="M880" i="5"/>
  <c r="K809" i="5"/>
  <c r="M810" i="5"/>
  <c r="K575" i="5"/>
  <c r="M576" i="5"/>
  <c r="K547" i="5"/>
  <c r="M547" i="5" s="1"/>
  <c r="M548" i="5"/>
  <c r="K497" i="5"/>
  <c r="M497" i="5" s="1"/>
  <c r="M498" i="5"/>
  <c r="K387" i="5"/>
  <c r="M387" i="5" s="1"/>
  <c r="M388" i="5"/>
  <c r="K252" i="5"/>
  <c r="M252" i="5" s="1"/>
  <c r="M253" i="5"/>
  <c r="K234" i="5"/>
  <c r="K177" i="5"/>
  <c r="M178" i="5"/>
  <c r="K24" i="5"/>
  <c r="M25" i="5"/>
  <c r="K473" i="5"/>
  <c r="M473" i="5" s="1"/>
  <c r="K453" i="5"/>
  <c r="M453" i="5" s="1"/>
  <c r="K1328" i="5"/>
  <c r="K1327" i="5" s="1"/>
  <c r="K1326" i="5" s="1"/>
  <c r="K867" i="5"/>
  <c r="K1168" i="5"/>
  <c r="K1167" i="5" s="1"/>
  <c r="K1166" i="5" s="1"/>
  <c r="K192" i="5"/>
  <c r="K1199" i="5"/>
  <c r="K1198" i="5" s="1"/>
  <c r="K1197" i="5" s="1"/>
  <c r="K146" i="5"/>
  <c r="K667" i="5"/>
  <c r="K959" i="5"/>
  <c r="K41" i="5"/>
  <c r="K1264" i="5"/>
  <c r="K496" i="5"/>
  <c r="M496" i="5" s="1"/>
  <c r="K487" i="5"/>
  <c r="K81" i="5"/>
  <c r="K1023" i="5"/>
  <c r="K1022" i="5" s="1"/>
  <c r="K113" i="5"/>
  <c r="K112" i="5" s="1"/>
  <c r="K111" i="5" s="1"/>
  <c r="M111" i="5" s="1"/>
  <c r="K541" i="5"/>
  <c r="M541" i="5" s="1"/>
  <c r="K608" i="5"/>
  <c r="K607" i="5" s="1"/>
  <c r="K600" i="5" s="1"/>
  <c r="K379" i="5"/>
  <c r="K240" i="5"/>
  <c r="K239" i="5" s="1"/>
  <c r="K340" i="5"/>
  <c r="K339" i="5" s="1"/>
  <c r="K651" i="5"/>
  <c r="K203" i="5"/>
  <c r="K202" i="5" s="1"/>
  <c r="K201" i="5" s="1"/>
  <c r="K200" i="5" s="1"/>
  <c r="K199" i="5" s="1"/>
  <c r="K204" i="5"/>
  <c r="K1263" i="5" l="1"/>
  <c r="M1264" i="5"/>
  <c r="K1109" i="5"/>
  <c r="M1114" i="5"/>
  <c r="K950" i="5"/>
  <c r="M959" i="5"/>
  <c r="K848" i="5"/>
  <c r="M848" i="5" s="1"/>
  <c r="M867" i="5"/>
  <c r="K808" i="5"/>
  <c r="M808" i="5" s="1"/>
  <c r="M809" i="5"/>
  <c r="K666" i="5"/>
  <c r="M666" i="5" s="1"/>
  <c r="M667" i="5"/>
  <c r="K650" i="5"/>
  <c r="M650" i="5" s="1"/>
  <c r="M651" i="5"/>
  <c r="K593" i="5"/>
  <c r="M593" i="5" s="1"/>
  <c r="M600" i="5"/>
  <c r="K574" i="5"/>
  <c r="M575" i="5"/>
  <c r="K486" i="5"/>
  <c r="M486" i="5" s="1"/>
  <c r="M487" i="5"/>
  <c r="K378" i="5"/>
  <c r="M379" i="5"/>
  <c r="K233" i="5"/>
  <c r="K176" i="5"/>
  <c r="M177" i="5"/>
  <c r="K80" i="5"/>
  <c r="M81" i="5"/>
  <c r="K35" i="5"/>
  <c r="M35" i="5" s="1"/>
  <c r="M41" i="5"/>
  <c r="K23" i="5"/>
  <c r="M24" i="5"/>
  <c r="K238" i="5"/>
  <c r="K452" i="5"/>
  <c r="K540" i="5"/>
  <c r="K1190" i="5"/>
  <c r="K333" i="5"/>
  <c r="K332" i="5" s="1"/>
  <c r="K331" i="5" s="1"/>
  <c r="K1014" i="5"/>
  <c r="K1258" i="5" l="1"/>
  <c r="M1263" i="5"/>
  <c r="M1109" i="5"/>
  <c r="K1101" i="5"/>
  <c r="K1013" i="5"/>
  <c r="M1014" i="5"/>
  <c r="K949" i="5"/>
  <c r="M949" i="5" s="1"/>
  <c r="M950" i="5"/>
  <c r="K847" i="5"/>
  <c r="K846" i="5" s="1"/>
  <c r="M846" i="5" s="1"/>
  <c r="M847" i="5"/>
  <c r="K573" i="5"/>
  <c r="M574" i="5"/>
  <c r="K539" i="5"/>
  <c r="M540" i="5"/>
  <c r="K451" i="5"/>
  <c r="M452" i="5"/>
  <c r="K377" i="5"/>
  <c r="M378" i="5"/>
  <c r="K237" i="5"/>
  <c r="M238" i="5"/>
  <c r="K232" i="5"/>
  <c r="M176" i="5"/>
  <c r="K158" i="5"/>
  <c r="K79" i="5"/>
  <c r="M80" i="5"/>
  <c r="K22" i="5"/>
  <c r="M23" i="5"/>
  <c r="K1182" i="5"/>
  <c r="M1258" i="5" l="1"/>
  <c r="K1257" i="5"/>
  <c r="M1101" i="5"/>
  <c r="K1100" i="5"/>
  <c r="K1012" i="5"/>
  <c r="M1013" i="5"/>
  <c r="K572" i="5"/>
  <c r="M572" i="5" s="1"/>
  <c r="M573" i="5"/>
  <c r="K538" i="5"/>
  <c r="M539" i="5"/>
  <c r="K445" i="5"/>
  <c r="M451" i="5"/>
  <c r="M377" i="5"/>
  <c r="K376" i="5"/>
  <c r="K231" i="5"/>
  <c r="M158" i="5"/>
  <c r="K145" i="5"/>
  <c r="M145" i="5" s="1"/>
  <c r="M79" i="5"/>
  <c r="K78" i="5"/>
  <c r="K21" i="5"/>
  <c r="M22" i="5"/>
  <c r="K1311" i="5"/>
  <c r="K1310" i="5" l="1"/>
  <c r="M1311" i="5"/>
  <c r="K1256" i="5"/>
  <c r="M1256" i="5" s="1"/>
  <c r="M1257" i="5"/>
  <c r="K1049" i="5"/>
  <c r="M1049" i="5" s="1"/>
  <c r="M1100" i="5"/>
  <c r="M1012" i="5"/>
  <c r="K997" i="5"/>
  <c r="K537" i="5"/>
  <c r="M537" i="5" s="1"/>
  <c r="M538" i="5"/>
  <c r="M445" i="5"/>
  <c r="K444" i="5"/>
  <c r="K368" i="5"/>
  <c r="M368" i="5" s="1"/>
  <c r="M376" i="5"/>
  <c r="K230" i="5"/>
  <c r="K72" i="5"/>
  <c r="M78" i="5"/>
  <c r="K20" i="5"/>
  <c r="M20" i="5" s="1"/>
  <c r="M21" i="5"/>
  <c r="K720" i="5"/>
  <c r="K719" i="5" s="1"/>
  <c r="K1309" i="5" l="1"/>
  <c r="M1310" i="5"/>
  <c r="K941" i="5"/>
  <c r="M941" i="5" s="1"/>
  <c r="M997" i="5"/>
  <c r="K443" i="5"/>
  <c r="M443" i="5" s="1"/>
  <c r="M444" i="5"/>
  <c r="K29" i="5"/>
  <c r="M72" i="5"/>
  <c r="K718" i="5"/>
  <c r="K1308" i="5" l="1"/>
  <c r="M1309" i="5"/>
  <c r="K717" i="5"/>
  <c r="M718" i="5"/>
  <c r="M29" i="5"/>
  <c r="K28" i="5"/>
  <c r="M28" i="5" s="1"/>
  <c r="K1291" i="5" l="1"/>
  <c r="M1291" i="5" s="1"/>
  <c r="M1308" i="5"/>
  <c r="K716" i="5"/>
  <c r="M717" i="5"/>
  <c r="M716" i="5" l="1"/>
  <c r="K665" i="5"/>
  <c r="M665" i="5" l="1"/>
  <c r="K643" i="5"/>
  <c r="M643" i="5" l="1"/>
  <c r="K19" i="5"/>
  <c r="M19" i="5" s="1"/>
</calcChain>
</file>

<file path=xl/sharedStrings.xml><?xml version="1.0" encoding="utf-8"?>
<sst xmlns="http://schemas.openxmlformats.org/spreadsheetml/2006/main" count="7660" uniqueCount="589">
  <si>
    <t>№ п/п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</si>
  <si>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</si>
  <si>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</si>
  <si>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</si>
  <si>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</si>
  <si>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03</t>
  </si>
  <si>
    <t>04</t>
  </si>
  <si>
    <t>05</t>
  </si>
  <si>
    <t>07</t>
  </si>
  <si>
    <t>Другие общегосударственные вопросы</t>
  </si>
  <si>
    <t>14</t>
  </si>
  <si>
    <t xml:space="preserve">Национальная оборона </t>
  </si>
  <si>
    <t>Мобилизационная подготовка экономики</t>
  </si>
  <si>
    <t>Мероприятия по обеспечению мобилизационной готовности экономики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</si>
  <si>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</si>
  <si>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</si>
  <si>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</si>
  <si>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08</t>
  </si>
  <si>
    <t>Образование</t>
  </si>
  <si>
    <t>Молодежная политика и оздоровление детей</t>
  </si>
  <si>
    <t>Социальная политика</t>
  </si>
  <si>
    <t>10</t>
  </si>
  <si>
    <t>Межбюджетные трансферты</t>
  </si>
  <si>
    <t>11</t>
  </si>
  <si>
    <t>09</t>
  </si>
  <si>
    <t>Дошкольное образование</t>
  </si>
  <si>
    <t>Общее образование</t>
  </si>
  <si>
    <t>Другие вопросы в области образования</t>
  </si>
  <si>
    <t>Социальное обеспечение населения</t>
  </si>
  <si>
    <t>Охрана семьи и детства</t>
  </si>
  <si>
    <t>06</t>
  </si>
  <si>
    <t>929</t>
  </si>
  <si>
    <t>Отдел по физической культуре и спорту администрации МО Туапсинский район</t>
  </si>
  <si>
    <t>РЗ</t>
  </si>
  <si>
    <t>ПР</t>
  </si>
  <si>
    <t>ЦСР</t>
  </si>
  <si>
    <t>ВР</t>
  </si>
  <si>
    <t>Код бюджетной классификации</t>
  </si>
  <si>
    <t>Вед</t>
  </si>
  <si>
    <t>Наименование</t>
  </si>
  <si>
    <t>ВСЕГО:</t>
  </si>
  <si>
    <t>13</t>
  </si>
  <si>
    <t>Жилищно-коммунальное хозяйство</t>
  </si>
  <si>
    <t>Пенсионное обеспечение</t>
  </si>
  <si>
    <t>Финансовое управление администрации муниципального образования Туапсинский район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</si>
  <si>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</si>
  <si>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</si>
  <si>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</si>
  <si>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953</t>
  </si>
  <si>
    <t>Представительный орган местного самоуправления - Совет муниципального образования Туапсинский район</t>
  </si>
  <si>
    <t>Другие вопросы в области культуры, кинематографии</t>
  </si>
  <si>
    <t>Управление по опеке и попечительству, вопросам семьи и детства администрации муниципального образования Туапсинский район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</si>
  <si>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</si>
  <si>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Отдел по делам ГО и ЧС администрации муниципального образования Туапсинский район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</si>
  <si>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</si>
  <si>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</si>
  <si>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</si>
  <si>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</si>
  <si>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</si>
  <si>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</si>
  <si>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</si>
  <si>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</si>
  <si>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</si>
  <si>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</si>
  <si>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</si>
  <si>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Дорожное хозяйство (дорожные фонды)</t>
  </si>
  <si>
    <t>Мероприятия по поддержке дорожного хозяйства</t>
  </si>
  <si>
    <t>400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</si>
  <si>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</si>
  <si>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Социальное обеспечение и иные выплаты населению</t>
  </si>
  <si>
    <t>300</t>
  </si>
  <si>
    <t>Обслуживание муниципального долга</t>
  </si>
  <si>
    <t>700</t>
  </si>
  <si>
    <t>500</t>
  </si>
  <si>
    <t>Обеспечение деятельности контрольно-счетной палаты муниципального образования Туапсинский район</t>
  </si>
  <si>
    <t>Управление имущественных отношений администрации муниципального образования Туапсинский район</t>
  </si>
  <si>
    <t>Субсидии бюджетным, автономным учреждениям и иным некоммерческим организациям</t>
  </si>
  <si>
    <t>600</t>
  </si>
  <si>
    <t xml:space="preserve">Расходы на обеспечение функций муниципальных органов </t>
  </si>
  <si>
    <t>Физическая культура и спорт</t>
  </si>
  <si>
    <t>Другие вопросы в области социальной политики</t>
  </si>
  <si>
    <t>Обеспечение деятельности представительного органа местного самоуправления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</si>
  <si>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</si>
  <si>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</si>
  <si>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</si>
  <si>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 xml:space="preserve">Культура, кинематография </t>
  </si>
  <si>
    <t>Другие вопросы в области физической культуры и спорта</t>
  </si>
  <si>
    <t>Исполнительно-распорядительный орган муниципального образования - администрация муниципального образования Туапсинский район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</si>
  <si>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</si>
  <si>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Обеспечение деятельности администрации муниципального образования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</si>
  <si>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</si>
  <si>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Транспорт</t>
  </si>
  <si>
    <t>Другие вопросы в области национальной экономики</t>
  </si>
  <si>
    <t>12</t>
  </si>
  <si>
    <t>Культура, кинематография</t>
  </si>
  <si>
    <t xml:space="preserve">08 </t>
  </si>
  <si>
    <t>Управление капитального строительства администрации муниципального образования Туапсинский район</t>
  </si>
  <si>
    <t>934</t>
  </si>
  <si>
    <t>(тыс. рублей)</t>
  </si>
  <si>
    <t>Контрольно-счетная палата муниципального образования Туапсинский район</t>
  </si>
  <si>
    <t>Капитальные вложения в объекты государственной (муниципальной) собственности</t>
  </si>
  <si>
    <t>Непрограммные расходы</t>
  </si>
  <si>
    <t>00</t>
  </si>
  <si>
    <t>00000</t>
  </si>
  <si>
    <t>00190</t>
  </si>
  <si>
    <t>Компенсационные расходы на выплаты депутатских полномочий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</si>
  <si>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</si>
  <si>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</si>
  <si>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</si>
  <si>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52</t>
  </si>
  <si>
    <t>60910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</si>
  <si>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</si>
  <si>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</si>
  <si>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</si>
  <si>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</si>
  <si>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Обеспечение деятельности казенных учреждений</t>
  </si>
  <si>
    <t>00590</t>
  </si>
  <si>
    <t>99</t>
  </si>
  <si>
    <t>11530</t>
  </si>
  <si>
    <t>Финансовое обеспечение мероприятий по поддержке сельскохозяйственного производства</t>
  </si>
  <si>
    <t>Проведение противоэпизоотических мероприятий и лечебно- профилактической работы</t>
  </si>
  <si>
    <t>61650</t>
  </si>
  <si>
    <t>16</t>
  </si>
  <si>
    <t>55</t>
  </si>
  <si>
    <t>Строительство, реконструкция, капитальный ремонт, ремонт и содержание автомобильных дорог</t>
  </si>
  <si>
    <t>21100</t>
  </si>
  <si>
    <t>1</t>
  </si>
  <si>
    <t>Повышение эффективности работы органов местного самоуправления и подведомственных организаций</t>
  </si>
  <si>
    <t>15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</si>
  <si>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</si>
  <si>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</si>
  <si>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24710</t>
  </si>
  <si>
    <t>Реализация основных направлений приоритетного национального проекта «Доступное и комфортное жилье - гражданам России»</t>
  </si>
  <si>
    <t>4</t>
  </si>
  <si>
    <t xml:space="preserve">Комплексное информационное обеспечение деятельности органов местного самоуправления </t>
  </si>
  <si>
    <t>24750</t>
  </si>
  <si>
    <t>19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</si>
  <si>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</si>
  <si>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</si>
  <si>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</si>
  <si>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</si>
  <si>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</si>
  <si>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</si>
  <si>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10490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</si>
  <si>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</si>
  <si>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</si>
  <si>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</si>
  <si>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</si>
  <si>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Обеспечение деятельности отдела по делам ГО и ЧС администрации муниципального образования Туапсинский район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</si>
  <si>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</si>
  <si>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</si>
  <si>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</si>
  <si>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</si>
  <si>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</si>
  <si>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</si>
  <si>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</si>
  <si>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</si>
  <si>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</si>
  <si>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</si>
  <si>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Реализация мер по специальной поддержке отдельных категорий обучающихся</t>
  </si>
  <si>
    <t>24400</t>
  </si>
  <si>
    <t>62370</t>
  </si>
  <si>
    <t>Совершенствование системы организации детского оздоровительного отдыха в муниципальном образовании Туапсинский район</t>
  </si>
  <si>
    <t>24410</t>
  </si>
  <si>
    <t>60710</t>
  </si>
  <si>
    <t>Обеспечение деятельности отдела культуры администрации муниципального образования Туапсинский район</t>
  </si>
  <si>
    <t>2</t>
  </si>
  <si>
    <t>Повышения качества обучения в муниципальных детско-юношеских спортивных школах</t>
  </si>
  <si>
    <t>24500</t>
  </si>
  <si>
    <t>60740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</si>
  <si>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</si>
  <si>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Обеспечение деятельности управления по работе с молодежью администрации муниципального образования Туапсинский район</t>
  </si>
  <si>
    <t>Поддержка детей-сирот</t>
  </si>
  <si>
    <t>Предоставление субсидий бюджетным, автономным учреждениям и иным некоммерческим организациям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</si>
  <si>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</si>
  <si>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</si>
  <si>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</si>
  <si>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</si>
  <si>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Организация и проведение аварийно-спасательных и других неотложных работ при чрезвычайных ситуациях</t>
  </si>
  <si>
    <t>Управление по развитию курортов администрации муниципального образования Туапсинский район</t>
  </si>
  <si>
    <t>947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</si>
  <si>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</si>
  <si>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</si>
  <si>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</si>
  <si>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Формирование системы оценки качества образования и образовательных результатов</t>
  </si>
  <si>
    <t>20</t>
  </si>
  <si>
    <t>Обеспечение деятельности управления по развитию курортов администрации муниципального образования Туапсинский район</t>
  </si>
  <si>
    <t>Управление образования администрации муниципального образования Туапсинский район</t>
  </si>
  <si>
    <t>Управление по работе с молодежью администрации муниципального образования Туапсинский район</t>
  </si>
  <si>
    <t>3</t>
  </si>
  <si>
    <t>Другие вопросы в области национальной безопасности и правоохранительной деятельности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</si>
  <si>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</si>
  <si>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Мероприятия по укреплению правопорядка, профилактике правонарушений, усилению борьбы с преступностью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</si>
  <si>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</si>
  <si>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 xml:space="preserve">18 </t>
  </si>
  <si>
    <t>24540</t>
  </si>
  <si>
    <t>24560</t>
  </si>
  <si>
    <t>Финансирование доплат отдельным категориям работников в образовательных организациях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</si>
  <si>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</si>
  <si>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24350</t>
  </si>
  <si>
    <t>24780</t>
  </si>
  <si>
    <t>21620</t>
  </si>
  <si>
    <t>62500</t>
  </si>
  <si>
    <t>Профилактика террористических проявлений на территории муниципального образования Туапсинский район</t>
  </si>
  <si>
    <t>5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</si>
  <si>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</si>
  <si>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Доплаты водителям МБУ ДО ДЮСШ</t>
  </si>
  <si>
    <t>24870</t>
  </si>
  <si>
    <t>24860</t>
  </si>
  <si>
    <t>Частичная компенсация удорожания стоимости питания учащихся дневных муниципальных образовательных организаций</t>
  </si>
  <si>
    <t>24840</t>
  </si>
  <si>
    <t>Социальная выплата компенсационного характера, связанная с оплатой жилого помещения по договору найма (поднайма)</t>
  </si>
  <si>
    <t>24820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</si>
  <si>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</si>
  <si>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24880</t>
  </si>
  <si>
    <t>Подпрограмма «Организация отдыха, оздоровления и занятости детей и подростков»</t>
  </si>
  <si>
    <t>Муниципальная программа «Защита населения и территории от чрезвычайных ситуаций, обеспечение пожарной безопасности»</t>
  </si>
  <si>
    <t>Подпрограмма «Профилактика терроризма на территории муниципального образования Туапсинский район»</t>
  </si>
  <si>
    <t>Муниципальная программа «Развитие образования в муниципальном образовании Туапсинский район»</t>
  </si>
  <si>
    <t>Дополнительное образование детей</t>
  </si>
  <si>
    <t>Управление ЖКХ и ТЭК администрации муниципального образования Туапсинский район</t>
  </si>
  <si>
    <t>Другие вопросы в области жилищно-коммунального хозяйства</t>
  </si>
  <si>
    <t>Обеспечение деятельности управления ЖКХ и ТЭК</t>
  </si>
  <si>
    <t>Мероприятия в рамках управления имуществом Туапсинского района</t>
  </si>
  <si>
    <t>24690</t>
  </si>
  <si>
    <t>Обеспечение деятельности муниципального бюджетного учреждения</t>
  </si>
  <si>
    <t>24810</t>
  </si>
  <si>
    <t>24470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</si>
  <si>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</si>
  <si>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24480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</si>
  <si>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</si>
  <si>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24800</t>
  </si>
  <si>
    <t>Подпрограмма «Укрепление единства российской нации на территории муниципального образования Туапсинский район»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</si>
  <si>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</si>
  <si>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24680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</si>
  <si>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</si>
  <si>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24650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</si>
  <si>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</si>
  <si>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21190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</si>
  <si>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</si>
  <si>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21200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</si>
  <si>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</si>
  <si>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21210</t>
  </si>
  <si>
    <t>Сумма</t>
  </si>
  <si>
    <t>21590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</si>
  <si>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</si>
  <si>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</si>
  <si>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21600</t>
  </si>
  <si>
    <t>21591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</si>
  <si>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</si>
  <si>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21592</t>
  </si>
  <si>
    <t>21610</t>
  </si>
  <si>
    <t>Муниципальная программа «Развитие жилищно-коммунального хозяйства в муниципальном образовании  Туапсинский район»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</si>
  <si>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</si>
  <si>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</si>
  <si>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 xml:space="preserve">Муниципальная программа «Содействие развитию гражданского общества и гармонизации межнациональных отношений» 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</si>
  <si>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</si>
  <si>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Муниципальная программа  «Обеспечение безопасности населения Туапсинского района»</t>
  </si>
  <si>
    <t>Муниципальная программа «Обеспечение безопасности населения Туапсинского района»</t>
  </si>
  <si>
    <t>Подпрограмма «Укрепление правопорядка, профилактика правонарушений, усиление борьбы с преступностью и противодействие коррупции в Туапсинском районе»</t>
  </si>
  <si>
    <t>Ведомственная целевая программа «Развитие агропромышленного комплекса на территории муниципального образования Туапсинский район»</t>
  </si>
  <si>
    <t>Отдельные мероприятия ведомственной целевой программы «Развитие агропромышленного комплекса на территории муниципального образования Туапсинский район»</t>
  </si>
  <si>
    <t>Муниципальная программа «Экономическое развитие Туапсинского района»</t>
  </si>
  <si>
    <t>Подпрограмма «Формирование инвестиционной привлекательности муниципального образования Туапсинский район»</t>
  </si>
  <si>
    <t>Реализация мероприятий подпрограммы «Формирование инвестиционной привлекательности муниципального образования Туапсинский район» муниципальной программы «Экономическое развитие Туапсинского района»</t>
  </si>
  <si>
    <t>Подпрограмма «Информационное обеспечение населения муниципального образования Туапсинский район»</t>
  </si>
  <si>
    <t>Реализация мероприятий подпрограммы «Информационное обеспечение населения муниципального образования Туапсинский район» муниципальной программы «Экономическое развитие Туапсинского района»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</si>
  <si>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</si>
  <si>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</si>
  <si>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</si>
  <si>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Подпрограмма «Жилище»</t>
  </si>
  <si>
    <t>Муниципальная программа «Управление муниципальными финансами»</t>
  </si>
  <si>
    <t>Подпрограмма «Управление муниципальным долгом»</t>
  </si>
  <si>
    <t>Муниципальная программа  «Функционирование органов местного самоуправления в муниципальном образовании Туапсинский район»</t>
  </si>
  <si>
    <t>Подпрограмма «Совершенствование межбюджетных отношений в Туапсинском районе»</t>
  </si>
  <si>
    <t>Муниципальная программа «Туапсинский район - территория комфортного проживания»</t>
  </si>
  <si>
    <t>Подпрограмма «Мероприятия по предупреждению и ликвидации чрезвычайных ситуаций, стихийных бедствий и их последствий»</t>
  </si>
  <si>
    <t>Подпрограмма «Обеспечение пожарной безопасности»</t>
  </si>
  <si>
    <t>Подпрограмма «Служба - 112»</t>
  </si>
  <si>
    <t>Муниципальная программа «Управление муниципальной собственностью»</t>
  </si>
  <si>
    <t>Обеспечение деятельности муниципального бюджетного учреждения «Комитет земельных отношений»</t>
  </si>
  <si>
    <t>Реализация мероприятий муниципальной программы «Управление муниципальной собственностью»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</si>
  <si>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</si>
  <si>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</si>
  <si>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</si>
  <si>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</si>
  <si>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Подпрограмма «Одаренные дети»</t>
  </si>
  <si>
    <t>Реализация мероприятий подпрограммы «Одаренные дети» муниципальной программы «По улучшению положения детей в муниципальном образовании Туапсинский район»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</si>
  <si>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</si>
  <si>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</si>
  <si>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</si>
  <si>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</si>
  <si>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«Культура»</t>
  </si>
  <si>
    <t>Ежемесячные денежные выплаты водителям автотранспортных средств учреждений дополнительного образования отрасли «Культура»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</si>
  <si>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«Культура»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</si>
  <si>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</si>
  <si>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Муниципальная программа «Развитие физической культуры и спорта в Туапсинском районе»</t>
  </si>
  <si>
    <t>Подпрограмма «Развитие детско-юношеского спорта»</t>
  </si>
  <si>
    <t>Реализация мероприятий подпрограммы «Развитие детско-юношеского спорта» муниципальной программы «Развитие физической культуры и спорта в Туапсинском районе»</t>
  </si>
  <si>
    <t>Улучшение кадрового обеспечения муниципальных учреждений дополнительного образования отрасли отрасли «Физическая культура и спорт»</t>
  </si>
  <si>
    <t>Подпрограмма «Развитие массового спорта»</t>
  </si>
  <si>
    <t>Реализация мероприятий подпрограммы «Развитие массового спорта» муниципальной программы «Развитие физической культуры и спорта в Туапсинском районе»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</si>
  <si>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</si>
  <si>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</si>
  <si>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</si>
  <si>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 xml:space="preserve">Обеспечение деятельности и организация работы муниципального казенного учреждения «Молодежный центр Туапсинского района» 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</si>
  <si>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</si>
  <si>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</si>
  <si>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</si>
  <si>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Реализация мероприятий муниципальной программы «Развитие санаторно-курортного и туристского комплекса муниципального образования Туапсинский район»</t>
  </si>
  <si>
    <t>Муниципальная программа «По улучшению положения детей в муниципальном образовании Туапсинский район»</t>
  </si>
  <si>
    <t>Подпрограмма «Дети-сироты»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</si>
  <si>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</si>
  <si>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Подпрограмма «Кадровое обеспечение отрасли «Культура» муниципального образования Туапсинский район»</t>
  </si>
  <si>
    <t>24900</t>
  </si>
  <si>
    <t>Укрепление межрегиональных и межмуниципальных отношений в области курортного дела и туризма</t>
  </si>
  <si>
    <t>Реализация мероприятий по Укреплению межрегиональных и межмуниципальных отношений в области курортного дела и туризма</t>
  </si>
  <si>
    <t>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</si>
  <si>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</si>
  <si>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</si>
  <si>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</si>
  <si>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60220</t>
  </si>
  <si>
    <t>Расходы на обеспечение деятельности (оказание услуг) муниципальных учреждений по передаваемым полномочиям поселений (в части обеспечения первичных мер пожарной безопасности)</t>
  </si>
  <si>
    <t>21593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</si>
  <si>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</si>
  <si>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</si>
  <si>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</si>
  <si>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Реализация мероприятий по обеспечению жильем молодых семей</t>
  </si>
  <si>
    <t>L4970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</si>
  <si>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</si>
  <si>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Культура</t>
  </si>
  <si>
    <t>24450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</si>
  <si>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</si>
  <si>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24460</t>
  </si>
  <si>
    <t>17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</si>
  <si>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</si>
  <si>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</si>
  <si>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</si>
  <si>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24700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</si>
  <si>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</si>
  <si>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24340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</si>
  <si>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</si>
  <si>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24330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</si>
  <si>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</si>
  <si>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21180</t>
  </si>
  <si>
    <t>Отдел культуры администрации муниципального образования Туапсинский район</t>
  </si>
  <si>
    <t>Организация отдыха детей в профильных лагерях, организованных муниципальными образовательными организациями, осуществляющими организацию отдыха и оздоровления обучающихся в каникулярное время с дневным пребыванием с обязательной организацией их питания</t>
  </si>
  <si>
    <t>S2400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</si>
  <si>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</si>
  <si>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C0820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</si>
  <si>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</si>
  <si>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24420</t>
  </si>
  <si>
    <t>Муниципальная программа  «Туапсинский район - территория комфортного проживания»</t>
  </si>
  <si>
    <t xml:space="preserve">Предоставление субсидий бюджетным, автономным учреждениям и иным некоммерческим организациям
</t>
  </si>
  <si>
    <t>24790</t>
  </si>
  <si>
    <t>Совершенствование противопожарной защиты населения и объектов инфраструктуры</t>
  </si>
  <si>
    <t>Муниципальная программа  «Защита населения и территории от чрезвычайных ситуаций, обеспечение пожарной безопасности»</t>
  </si>
  <si>
    <t>24640</t>
  </si>
  <si>
    <t>24360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</si>
  <si>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</si>
  <si>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</si>
  <si>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</si>
  <si>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</si>
  <si>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</si>
  <si>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</si>
  <si>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</si>
  <si>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</si>
  <si>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21240</t>
  </si>
  <si>
    <t>Прочие выплаты по обязательствам муниципального образования</t>
  </si>
  <si>
    <t>Поддержка мер по обеспечению сбалансированности поселений Туапсинского района</t>
  </si>
  <si>
    <t>Дотации на поддержку мер по обеспечению сбалансированности поселений Туапсинского района</t>
  </si>
  <si>
    <t>23040</t>
  </si>
  <si>
    <t>Муниципальная программа  «Управление муниципальными финансами»</t>
  </si>
  <si>
    <t>Дополнительная помощь местным бюджетам для решения социально значимых вопросов</t>
  </si>
  <si>
    <t>24850</t>
  </si>
  <si>
    <t>24920</t>
  </si>
  <si>
    <t>Создание благоприятных условий для развития малого и среднего предпринимательства в Туапсинском район</t>
  </si>
  <si>
    <t>Архитектура и градостроительство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</si>
  <si>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</si>
  <si>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Реализация мероприятий в области архитектуры и градостроительства</t>
  </si>
  <si>
    <t>25000</t>
  </si>
  <si>
    <t>Поддержка сельскохозяйственного производства в Туапсинском районе</t>
  </si>
  <si>
    <t>24610</t>
  </si>
  <si>
    <t>24600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</si>
  <si>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</si>
  <si>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S2820</t>
  </si>
  <si>
    <t>Оплата труда инструкторов по спорту в муниципальных образованиях Краснодарского края</t>
  </si>
  <si>
    <t>24670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</si>
  <si>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</si>
  <si>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</si>
  <si>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Предоставление субсидий на учреждения деятельность которых приостановлена</t>
  </si>
  <si>
    <t>24370</t>
  </si>
  <si>
    <t>Обеспечение проведения независимой оценки качества условий осуществления образовательной деятельности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</si>
  <si>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</si>
  <si>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</si>
  <si>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63110</t>
  </si>
  <si>
    <t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</t>
  </si>
  <si>
    <t>62980</t>
  </si>
  <si>
    <t>24930</t>
  </si>
  <si>
    <t>Финансирование расходных обязательств автономной некоммерческой организации, осуществляющей организацию питания в образовательных организациях муниципального образования Туапсинский район, подведомственных управлению образования администрации муниципального образования Туапсинский район  с целью недопущения ухудшения экономической ситуации в условиях   профилактики и устранения последствий распространения коронавирусной инфекции</t>
  </si>
  <si>
    <t>Реализация мероприятий муниципальной программы «Туапсинский район - территория комфортного проживания»</t>
  </si>
  <si>
    <t>Реализация мероприятий подпрограммы «Обеспечение пожарной безопасности» муниципальной программы «Защита населения и территории от чрезвычайных ситуаций, обеспечение пожарной безопасности»</t>
  </si>
  <si>
    <t>L3040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</si>
  <si>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</si>
  <si>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26000</t>
  </si>
  <si>
    <t>Доведение до МРОТ отдельные категории работников</t>
  </si>
  <si>
    <t>S0470</t>
  </si>
  <si>
    <t>Развитие общественной инфраструктуры муниципального значения</t>
  </si>
  <si>
    <t>Подпрограмма «Поддержка социально ориентированных реестровых казачьих обществ Туапсинского района»</t>
  </si>
  <si>
    <t xml:space="preserve">Меры социальной поддержки детям инвалидам и ОВЗ в части предоставления компенсации за набор продуктов из расчета двухразового питания  </t>
  </si>
  <si>
    <t>24940</t>
  </si>
  <si>
    <t>Доведение до МРОТ отдельных категорий работников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</si>
  <si>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</si>
  <si>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 ведомственной целевой программы «Развитие агропромышленного комплекса на территории муниципального образования Туапсинский район»</t>
  </si>
  <si>
    <t>Подпрограмма  «Поддержка малого и среднего предпринимательства на территории муниципального образования Туапсинский район»</t>
  </si>
  <si>
    <t>Реализация мероприятий подпрограммы «Поддержка малого и среднего предпринимательства на территории муниципального образования Туапсинский район»</t>
  </si>
  <si>
    <t>Муниципальная программа «Содействие развитию гражданского общества и гармонизации межнациональных отношений»</t>
  </si>
  <si>
    <t>Реализация мероприятий муниципальной программы «Развитие образования в муниципальном образовании Туапсинский район»</t>
  </si>
  <si>
    <t>Подпрограмма «Культура Туапсинского района»</t>
  </si>
  <si>
    <t>Реализация мероприятий  подпрограммы «Культура Туапсинского района» муниципальной программы «Развитие культуры Туапсинского района»</t>
  </si>
  <si>
    <t>Муниципальная программа «Доступная среда муниципального образования Туапсинский район»</t>
  </si>
  <si>
    <t>Отдельные мероприятия муниципальной программы «Доступная среда муниципального образования Туапсинский район»</t>
  </si>
  <si>
    <t>Реализация мероприятий  подпрограммы «Кадровое обеспечение отрасли «Культура» муниципальной программы «Развитие культуры Туапсинского района»</t>
  </si>
  <si>
    <t>Реализация мероприятий муниципальной программы  «Туапсинский район - территория комфортного проживания»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</si>
  <si>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</t>
  </si>
  <si>
    <t>Подпрограмма «Гармонизация межнациональных отношений и развития национальных культур муниципального образования Туапсинский район»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</si>
  <si>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</si>
  <si>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</si>
  <si>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Реализация мероприятий муниципальной программы «Молодежь Туапсинского района»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</si>
  <si>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</si>
  <si>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С3040</t>
  </si>
  <si>
    <t>24660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</si>
  <si>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</si>
  <si>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24310</t>
  </si>
  <si>
    <t>Обеспечение проведения ГИА, ЕГЭ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</si>
  <si>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«Содействие развитию гражданского общества и гармонизации межнациональных отношений»</t>
  </si>
  <si>
    <t>Развитие общественной инфраструктуры муниципального значения сверх сумм софинансирования</t>
  </si>
  <si>
    <t>С0470</t>
  </si>
  <si>
    <t>24390</t>
  </si>
  <si>
    <t>Финансирование расходных обязательств по укреплению материально-технической базы (приобретение оборудования и мебели)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</si>
  <si>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</si>
  <si>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</si>
  <si>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 xml:space="preserve">01 </t>
  </si>
  <si>
    <t>27000</t>
  </si>
  <si>
    <t>Резервный фонд администрации Краснодарского края</t>
  </si>
  <si>
    <t>2519F</t>
  </si>
  <si>
    <t xml:space="preserve">Подпрограмма « Культура Туапсинского района» </t>
  </si>
  <si>
    <t>Комплектование книжных фондов муниципальных общедоступных библиотек Туапсинского района</t>
  </si>
  <si>
    <t>Комплектование книжных фондов</t>
  </si>
  <si>
    <t xml:space="preserve"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
</t>
  </si>
  <si>
    <t>S3310</t>
  </si>
  <si>
    <t>Федеральный проект  «Культурная среда»</t>
  </si>
  <si>
    <t>A1</t>
  </si>
  <si>
    <t>Государственная поддержка отрасли культуры</t>
  </si>
  <si>
    <t>55190</t>
  </si>
  <si>
    <t>24571</t>
  </si>
  <si>
    <t>Диспансеризация сотрудников отраслевых (функциональных) органов</t>
  </si>
  <si>
    <t>Профессиональная подготовка, переподготовка и повышение квалификации</t>
  </si>
  <si>
    <t>24572</t>
  </si>
  <si>
    <t>Обучение сотрудников отраслевых (функциональных) органов</t>
  </si>
  <si>
    <t>Укрепление материально-технической базы и оборотных средств отраслевых (функциональных) органов</t>
  </si>
  <si>
    <t>24574</t>
  </si>
  <si>
    <t>24573</t>
  </si>
  <si>
    <t>Приобретение системного программного обеспечения и техническое сопровождение программных продуктов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</si>
  <si>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</si>
  <si>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S3550</t>
  </si>
  <si>
    <t>53032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</si>
  <si>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</si>
  <si>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</si>
  <si>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63540</t>
  </si>
  <si>
    <t>00591</t>
  </si>
  <si>
    <t>Обеспечение функционирования модели персонифицированного финансирования дополнительного образования детей</t>
  </si>
  <si>
    <t>69200</t>
  </si>
  <si>
    <t>69120</t>
  </si>
  <si>
    <t>69100</t>
  </si>
  <si>
    <t>69130</t>
  </si>
  <si>
    <t>69190</t>
  </si>
  <si>
    <t>69180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</si>
  <si>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</si>
  <si>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69170</t>
  </si>
  <si>
    <t>25200</t>
  </si>
  <si>
    <t>Предупреждение банкротства и проведение процедуры ликвидации муниципальных унитарных предприятий муниципального образования Туапсинский район</t>
  </si>
  <si>
    <t>S3570</t>
  </si>
  <si>
    <t>Укрепление материально-технической базы муниципальных физкультурно-спортивных организаций</t>
  </si>
  <si>
    <t>L5190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</si>
  <si>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</si>
  <si>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21594</t>
  </si>
  <si>
    <t xml:space="preserve">15 </t>
  </si>
  <si>
    <t>25300</t>
  </si>
  <si>
    <t>Процедура ликвидации МУП «Черноморские курорты Туапсинского района»</t>
  </si>
  <si>
    <t>Предоставление субсидий при процедуре ликвидации МУП «Черноморские курорты Туапсинского района» в целях сохранения муниципального имущества муниципального образования Туапсинский район</t>
  </si>
  <si>
    <t>Благоустройство</t>
  </si>
  <si>
    <t>С3370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</si>
  <si>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 сверх сумм софинансирования</t>
  </si>
  <si>
    <t>Управление транспорта и дорожного хозяйства администрации муниципального образования Туапсинский район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</si>
  <si>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</si>
  <si>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</si>
  <si>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63640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</si>
  <si>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</si>
  <si>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Прочие межбюджетные трансферты общего характера</t>
  </si>
  <si>
    <t>Внедрение и развитие инструментов инициативного бюджетирования на территории Туапсинский район</t>
  </si>
  <si>
    <t>Поддержка местных инициатив по итогам краевого конкурса</t>
  </si>
  <si>
    <t>62955</t>
  </si>
  <si>
    <t>69110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</si>
  <si>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</si>
  <si>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69140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</si>
  <si>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</si>
  <si>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69160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</si>
  <si>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</si>
  <si>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Коммунальное хозяйство</t>
  </si>
  <si>
    <t>S0250</t>
  </si>
  <si>
    <t>Связь и информатика</t>
  </si>
  <si>
    <t>Создание системы комплексного обеспечения безопасности жизнедеятельности</t>
  </si>
  <si>
    <t>Подпрограмма «Создание системы комплексного обеспечения безопасности жизнедеятельности на территории муниципального образования Туапсинский район»</t>
  </si>
  <si>
    <t xml:space="preserve">Участие в предупреждении чрезвычайных ситуаций в части развития систем видеонаблюдения муниципального образования (приобретение камер обзорного видеонаблюдения)  </t>
  </si>
  <si>
    <t>24520</t>
  </si>
  <si>
    <t>Обеспечение учреждений социальной сферы приборами учета тепловой энергии</t>
  </si>
  <si>
    <t>24510</t>
  </si>
  <si>
    <t>Ю.Н. Кулакова</t>
  </si>
  <si>
    <t>Подготовка изменений в правила землепользования и застройки муниципальных образований Краснодарского края</t>
  </si>
  <si>
    <t>S2570</t>
  </si>
  <si>
    <t>24440</t>
  </si>
  <si>
    <t>Лицензирование медицинских кабинетов</t>
  </si>
  <si>
    <t>S0100</t>
  </si>
  <si>
    <t>24980</t>
  </si>
  <si>
    <t>Организация бесплатного питания детей мобилизованных граждан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</si>
  <si>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</si>
  <si>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24620</t>
  </si>
  <si>
    <t>Обеспечение деятельности учреждений физической культуры и спорта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</si>
  <si>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 спортивного назначения, физкультурно оздоровительных комплексов)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</si>
  <si>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</si>
  <si>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ЕВ</t>
  </si>
  <si>
    <t>57860</t>
  </si>
  <si>
    <t>L7500</t>
  </si>
  <si>
    <t>Реализация мероприятий по модернизации школьных систем образования</t>
  </si>
  <si>
    <t>Спорт высших достижений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</si>
  <si>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</si>
  <si>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S3410</t>
  </si>
  <si>
    <t>Физическая культура</t>
  </si>
  <si>
    <t xml:space="preserve">Муниципальная программа  «Содействие развитию гражданского общества и гармонизации межнациональных отношений» 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</si>
  <si>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</si>
  <si>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</si>
  <si>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63690</t>
  </si>
  <si>
    <t>Размещение и питание граждан Российской Федерации, иностранных граждан и лиц без гражданства, вынужденно покинувших территории Запорожской и Херсонской областей, прибывших на территорию Краснодарского края в экстренном массовом порядке, находившихся и находящихся в средствах временного размещения и питания</t>
  </si>
  <si>
    <t>С7500</t>
  </si>
  <si>
    <t>Реализация мероприятий по модернизации школьных систем образования сверх сумм софинансирования</t>
  </si>
  <si>
    <t>S3380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</si>
  <si>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и переоснащение пищевых блоков муниципальных общеобразовательных организаций)</t>
  </si>
  <si>
    <t>Аренда складского помещения</t>
  </si>
  <si>
    <t>24740</t>
  </si>
  <si>
    <t>Компенсация за одноразовое горячее питание детей-инвалидов, которые из-за болезни не могут посещать школу</t>
  </si>
  <si>
    <t>24990</t>
  </si>
  <si>
    <t>24530</t>
  </si>
  <si>
    <t>Мероприятия по переводу котельных муниципальных учреждений на природный газ</t>
  </si>
  <si>
    <t>Укрепление материально-технической базы спортивных школ</t>
  </si>
  <si>
    <t>24505</t>
  </si>
  <si>
    <t>62590</t>
  </si>
  <si>
    <t>Средства резервного фонда администрации Краснодарского края</t>
  </si>
  <si>
    <t>Расходы на обеспечение функций органов местного самоуправления по передаваемым полномочиям поселений (по созданию условий для предоставления транспортных услуг населению и организации транспортного обслуживания населения в границах поселения)</t>
  </si>
  <si>
    <t>Обеспечение проведения выборов и референдумов</t>
  </si>
  <si>
    <t>51</t>
  </si>
  <si>
    <t>Проведение выборов в Совет муниципального образования Туапсинский район</t>
  </si>
  <si>
    <t>Проведение выборов в представительный орган местного самоуправления муниципального образования Туапсинский район</t>
  </si>
  <si>
    <t>12030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</si>
  <si>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физкультурно- спортивного назначения, физкультурно- оздоровительных комплексов) сверх сумм софинансирования</t>
  </si>
  <si>
    <t>С0100</t>
  </si>
  <si>
    <t xml:space="preserve">Развитие общественной инфраструктуры муниципального значения </t>
  </si>
  <si>
    <t>21191</t>
  </si>
  <si>
    <t>Начальник финансового управления 
администрации муниципального 
образования Туапсинский район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</si>
  <si>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</si>
  <si>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«Сириус»</t>
  </si>
  <si>
    <t>Предоставление субсидий при процедуре ликвидации МУП «Архитектурно-градостроительный центр Туапсинского района» в целях сохранения муниципального имущества муниципального образования Туапсинский район</t>
  </si>
  <si>
    <t>Реализация мероприятий муниципальной программы «Развитие жилищно-коммунального хозяйства в муниципальном образовании Туапсинский район»</t>
  </si>
  <si>
    <t>Федеральный проект «Патриотическое воспитание граждан Российской Федерации»</t>
  </si>
  <si>
    <t>Подпрограмма «Дети и семья»</t>
  </si>
  <si>
    <t>Реализация мероприятий подпрограммы «Дети и семья« муниципальной программы «По улучшению положения детей в муниципальном образовании Туапсинский район»</t>
  </si>
  <si>
    <t>Реализация мероприятий подпрограммы «Организация отдыха, оздоровления и занятости детей и подростков« муниципальной программы «По улучшению положения детей в муниципальном образовании Туапсинский район»</t>
  </si>
  <si>
    <t>Реализация мероприятий подпрограммы «Развитие детско-юношеского спорта« муниципальной программы «Развитие физической культуры и спорта в Туапсинском районе»</t>
  </si>
  <si>
    <t>Реализация мероприятий подпрограммы «Обеспечение пожарной безопасности« муниципальной программы «Защита населения и территории от чрезвычайных ситуаций, обеспечение пожарной безопасности»</t>
  </si>
  <si>
    <t>Обеспечение деятельности и организация работы муниципального казенного учреждения «Молодежный центр Туапсинского района»</t>
  </si>
  <si>
    <t>Муниципальная программа «Обеспечение перевозок обучающихся в образовательных учреждениях и учреждениях социальной сферы»</t>
  </si>
  <si>
    <t>Отдельные мероприятия муниципальной программы «Обеспечение перевозок обучающихся в образовательных учреждениях и учреждениях социальной сферы»</t>
  </si>
  <si>
    <t>РАСХОДЫ</t>
  </si>
  <si>
    <t xml:space="preserve">муниципального образования Туапсинский район        </t>
  </si>
  <si>
    <t xml:space="preserve">по ведомственной структуре расходов бюджета </t>
  </si>
  <si>
    <t>Исполнено</t>
  </si>
  <si>
    <t>% исполнения</t>
  </si>
  <si>
    <t>за 9 месяцев 2023 года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</si>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</sst>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#,##0.0"/>
    <numFmt numFmtId="165" formatCode="#,##0.00&quot;р.&quot;"/>
    <numFmt numFmtId="166" formatCode="#,##0.00\ &quot;₽&quot;"/>
    <numFmt numFmtId="167" formatCode="0.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1"/>
      <color rgb="FFFF0000"/>
      <name val="Arial Cyr"/>
      <charset val="204"/>
    </font>
    <font>
      <sz val="14"/>
      <color rgb="FFFF0000"/>
      <name val="Arial Cyr"/>
      <charset val="204"/>
    </font>
    <font>
      <b/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0" fontId="32" fillId="4" borderId="0" applyNumberFormat="0" applyBorder="0" applyAlignment="0" applyProtection="0"/>
    <xf numFmtId="0" fontId="34" fillId="0" borderId="0"/>
    <xf numFmtId="0" fontId="35" fillId="0" borderId="0"/>
    <xf numFmtId="9" fontId="33" fillId="0" borderId="0" applyFont="0" applyFill="0" applyBorder="0" applyAlignment="0" applyProtection="0"/>
    <xf numFmtId="0" fontId="35" fillId="0" borderId="0"/>
    <xf numFmtId="43" fontId="11" fillId="0" borderId="0" applyFont="0" applyFill="0" applyBorder="0" applyAlignment="0" applyProtection="0"/>
    <xf numFmtId="0" fontId="10" fillId="0" borderId="0"/>
    <xf numFmtId="9" fontId="11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15" fillId="24" borderId="0" xfId="0" applyFont="1" applyFill="1" applyBorder="1" applyAlignment="1" applyProtection="1">
      <alignment horizontal="center" vertical="top" wrapText="1"/>
      <protection locked="0"/>
    </xf>
    <xf numFmtId="0" fontId="0" fillId="24" borderId="0" xfId="0" applyFill="1" applyAlignment="1">
      <alignment vertical="top"/>
    </xf>
    <xf numFmtId="0" fontId="13" fillId="24" borderId="0" xfId="0" applyFont="1" applyFill="1" applyAlignment="1">
      <alignment horizontal="center" vertical="top"/>
    </xf>
    <xf numFmtId="49" fontId="13" fillId="24" borderId="0" xfId="0" applyNumberFormat="1" applyFont="1" applyFill="1" applyAlignment="1">
      <alignment horizontal="center" vertical="top"/>
    </xf>
    <xf numFmtId="49" fontId="14" fillId="24" borderId="0" xfId="0" applyNumberFormat="1" applyFont="1" applyFill="1" applyBorder="1" applyAlignment="1">
      <alignment horizontal="center" vertical="top"/>
    </xf>
    <xf numFmtId="0" fontId="14" fillId="24" borderId="0" xfId="0" applyFont="1" applyFill="1" applyBorder="1" applyAlignment="1">
      <alignment horizontal="center" vertical="top"/>
    </xf>
    <xf numFmtId="49" fontId="15" fillId="24" borderId="0" xfId="0" applyNumberFormat="1" applyFont="1" applyFill="1" applyBorder="1" applyAlignment="1" applyProtection="1">
      <alignment horizontal="center" vertical="top" wrapText="1"/>
      <protection locked="0"/>
    </xf>
    <xf numFmtId="49" fontId="36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13" fillId="24" borderId="0" xfId="0" applyFont="1" applyFill="1" applyAlignment="1">
      <alignment horizontal="right" vertical="top"/>
    </xf>
    <xf numFmtId="0" fontId="0" fillId="24" borderId="0" xfId="0" applyFill="1" applyAlignment="1">
      <alignment horizontal="center" vertical="top"/>
    </xf>
    <xf numFmtId="0" fontId="13" fillId="24" borderId="0" xfId="0" applyFont="1" applyFill="1" applyAlignment="1">
      <alignment vertical="top"/>
    </xf>
    <xf numFmtId="4" fontId="13" fillId="24" borderId="0" xfId="0" applyNumberFormat="1" applyFont="1" applyFill="1" applyAlignment="1">
      <alignment vertical="top"/>
    </xf>
    <xf numFmtId="49" fontId="36" fillId="24" borderId="10" xfId="0" applyNumberFormat="1" applyFont="1" applyFill="1" applyBorder="1" applyAlignment="1">
      <alignment horizontal="center" vertical="top"/>
    </xf>
    <xf numFmtId="4" fontId="40" fillId="24" borderId="0" xfId="0" applyNumberFormat="1" applyFont="1" applyFill="1" applyAlignment="1">
      <alignment vertical="top"/>
    </xf>
    <xf numFmtId="4" fontId="40" fillId="24" borderId="0" xfId="0" applyNumberFormat="1" applyFont="1" applyFill="1" applyAlignment="1">
      <alignment horizontal="right" vertical="top"/>
    </xf>
    <xf numFmtId="4" fontId="41" fillId="24" borderId="0" xfId="0" applyNumberFormat="1" applyFont="1" applyFill="1" applyAlignment="1">
      <alignment wrapText="1"/>
    </xf>
    <xf numFmtId="164" fontId="36" fillId="24" borderId="10" xfId="0" applyNumberFormat="1" applyFont="1" applyFill="1" applyBorder="1" applyAlignment="1">
      <alignment horizontal="center" vertical="top"/>
    </xf>
    <xf numFmtId="0" fontId="14" fillId="24" borderId="0" xfId="0" applyFont="1" applyFill="1" applyAlignment="1">
      <alignment horizontal="right"/>
    </xf>
    <xf numFmtId="49" fontId="36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4" borderId="0" xfId="0" applyFill="1" applyAlignment="1"/>
    <xf numFmtId="167" fontId="14" fillId="24" borderId="0" xfId="0" applyNumberFormat="1" applyFont="1" applyFill="1" applyBorder="1" applyAlignment="1">
      <alignment horizontal="right"/>
    </xf>
    <xf numFmtId="167" fontId="14" fillId="0" borderId="0" xfId="0" applyNumberFormat="1" applyFont="1" applyFill="1" applyBorder="1" applyAlignment="1">
      <alignment horizontal="right"/>
    </xf>
    <xf numFmtId="4" fontId="43" fillId="24" borderId="0" xfId="0" applyNumberFormat="1" applyFont="1" applyFill="1" applyAlignment="1">
      <alignment vertical="top"/>
    </xf>
    <xf numFmtId="167" fontId="13" fillId="24" borderId="0" xfId="0" applyNumberFormat="1" applyFont="1" applyFill="1" applyAlignment="1">
      <alignment vertical="top"/>
    </xf>
    <xf numFmtId="0" fontId="36" fillId="24" borderId="10" xfId="0" applyFont="1" applyFill="1" applyBorder="1" applyAlignment="1">
      <alignment horizontal="center" vertical="top"/>
    </xf>
    <xf numFmtId="49" fontId="36" fillId="24" borderId="10" xfId="0" applyNumberFormat="1" applyFont="1" applyFill="1" applyBorder="1" applyAlignment="1">
      <alignment horizontal="center" vertical="top" wrapText="1"/>
    </xf>
    <xf numFmtId="49" fontId="36" fillId="24" borderId="14" xfId="0" applyNumberFormat="1" applyFont="1" applyFill="1" applyBorder="1" applyAlignment="1">
      <alignment horizontal="center" vertical="top" wrapText="1"/>
    </xf>
    <xf numFmtId="49" fontId="36" fillId="24" borderId="0" xfId="0" applyNumberFormat="1" applyFont="1" applyFill="1" applyBorder="1" applyAlignment="1">
      <alignment horizontal="center" vertical="top" wrapText="1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15" fillId="24" borderId="0" xfId="0" applyFont="1" applyFill="1" applyBorder="1" applyAlignment="1" applyProtection="1">
      <alignment horizontal="justify" vertical="justify" wrapText="1"/>
      <protection locked="0"/>
    </xf>
    <xf numFmtId="0" fontId="14" fillId="24" borderId="0" xfId="0" applyFont="1" applyFill="1" applyAlignment="1">
      <alignment horizontal="justify" vertical="justify"/>
    </xf>
    <xf numFmtId="0" fontId="13" fillId="24" borderId="0" xfId="0" applyFont="1" applyFill="1" applyAlignment="1">
      <alignment horizontal="justify" vertical="justify"/>
    </xf>
    <xf numFmtId="0" fontId="36" fillId="24" borderId="10" xfId="0" applyFont="1" applyFill="1" applyBorder="1" applyAlignment="1">
      <alignment horizontal="left" vertical="top" wrapText="1"/>
    </xf>
    <xf numFmtId="11" fontId="36" fillId="24" borderId="10" xfId="0" applyNumberFormat="1" applyFont="1" applyFill="1" applyBorder="1" applyAlignment="1">
      <alignment horizontal="left" vertical="top" wrapText="1"/>
    </xf>
    <xf numFmtId="0" fontId="13" fillId="24" borderId="0" xfId="0" applyFont="1" applyFill="1" applyBorder="1" applyAlignment="1">
      <alignment horizontal="right" vertical="top"/>
    </xf>
    <xf numFmtId="0" fontId="14" fillId="24" borderId="0" xfId="0" applyFont="1" applyFill="1" applyBorder="1" applyAlignment="1">
      <alignment horizontal="left" vertical="top" wrapText="1"/>
    </xf>
    <xf numFmtId="0" fontId="13" fillId="24" borderId="0" xfId="0" applyFont="1" applyFill="1" applyBorder="1" applyAlignment="1">
      <alignment vertical="top"/>
    </xf>
    <xf numFmtId="0" fontId="14" fillId="24" borderId="0" xfId="0" applyFont="1" applyFill="1" applyAlignment="1">
      <alignment horizontal="justify" wrapText="1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 applyProtection="1">
      <alignment horizontal="justify" vertical="justify" wrapText="1"/>
      <protection locked="0"/>
    </xf>
    <xf numFmtId="0" fontId="36" fillId="24" borderId="10" xfId="0" applyFont="1" applyFill="1" applyBorder="1" applyAlignment="1">
      <alignment horizontal="center" vertical="top" wrapText="1"/>
    </xf>
    <xf numFmtId="0" fontId="44" fillId="0" borderId="0" xfId="0" applyFont="1" applyAlignment="1">
      <alignment horizontal="center"/>
    </xf>
    <xf numFmtId="164" fontId="36" fillId="24" borderId="10" xfId="0" applyNumberFormat="1" applyFont="1" applyFill="1" applyBorder="1" applyAlignment="1" applyProtection="1">
      <alignment horizontal="center" vertical="top" wrapText="1"/>
      <protection locked="0"/>
    </xf>
    <xf numFmtId="4" fontId="42" fillId="24" borderId="0" xfId="0" applyNumberFormat="1" applyFont="1" applyFill="1" applyAlignment="1">
      <alignment vertical="top" wrapText="1"/>
    </xf>
    <xf numFmtId="164" fontId="40" fillId="24" borderId="10" xfId="0" applyNumberFormat="1" applyFont="1" applyFill="1" applyBorder="1" applyAlignment="1">
      <alignment vertical="top"/>
    </xf>
    <xf numFmtId="164" fontId="36" fillId="24" borderId="10" xfId="0" applyNumberFormat="1" applyFont="1" applyFill="1" applyBorder="1" applyAlignment="1" applyProtection="1">
      <alignment horizontal="left" vertical="top" wrapText="1"/>
      <protection locked="0"/>
    </xf>
    <xf numFmtId="0" fontId="37" fillId="24" borderId="10" xfId="0" applyFont="1" applyFill="1" applyBorder="1" applyAlignment="1">
      <alignment horizontal="left" vertical="top" wrapText="1"/>
    </xf>
    <xf numFmtId="49" fontId="38" fillId="24" borderId="10" xfId="0" applyNumberFormat="1" applyFont="1" applyFill="1" applyBorder="1" applyAlignment="1">
      <alignment horizontal="center" vertical="top"/>
    </xf>
    <xf numFmtId="49" fontId="39" fillId="24" borderId="10" xfId="0" applyNumberFormat="1" applyFont="1" applyFill="1" applyBorder="1" applyAlignment="1">
      <alignment horizontal="left" vertical="top" wrapText="1"/>
    </xf>
    <xf numFmtId="2" fontId="36" fillId="24" borderId="10" xfId="0" applyNumberFormat="1" applyFont="1" applyFill="1" applyBorder="1" applyAlignment="1">
      <alignment horizontal="left" vertical="top" wrapText="1"/>
    </xf>
    <xf numFmtId="11" fontId="36" fillId="24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24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24" borderId="10" xfId="0" applyNumberFormat="1" applyFont="1" applyFill="1" applyBorder="1" applyAlignment="1">
      <alignment horizontal="left" vertical="top" wrapText="1"/>
    </xf>
    <xf numFmtId="12" fontId="39" fillId="24" borderId="10" xfId="0" applyNumberFormat="1" applyFont="1" applyFill="1" applyBorder="1" applyAlignment="1">
      <alignment horizontal="left" vertical="top" wrapText="1"/>
    </xf>
    <xf numFmtId="0" fontId="36" fillId="24" borderId="12" xfId="0" applyFont="1" applyFill="1" applyBorder="1" applyAlignment="1">
      <alignment horizontal="left" vertical="top" wrapText="1"/>
    </xf>
    <xf numFmtId="0" fontId="36" fillId="24" borderId="10" xfId="0" applyFont="1" applyFill="1" applyBorder="1" applyAlignment="1">
      <alignment horizontal="left" vertical="top"/>
    </xf>
    <xf numFmtId="0" fontId="39" fillId="24" borderId="10" xfId="0" applyFont="1" applyFill="1" applyBorder="1" applyAlignment="1">
      <alignment horizontal="left" vertical="top" wrapText="1"/>
    </xf>
    <xf numFmtId="3" fontId="36" fillId="24" borderId="10" xfId="0" applyNumberFormat="1" applyFont="1" applyFill="1" applyBorder="1" applyAlignment="1">
      <alignment horizontal="center" vertical="top" wrapText="1"/>
    </xf>
    <xf numFmtId="49" fontId="39" fillId="24" borderId="12" xfId="0" applyNumberFormat="1" applyFont="1" applyFill="1" applyBorder="1" applyAlignment="1">
      <alignment horizontal="left" vertical="top" wrapText="1"/>
    </xf>
    <xf numFmtId="11" fontId="39" fillId="24" borderId="10" xfId="0" applyNumberFormat="1" applyFont="1" applyFill="1" applyBorder="1" applyAlignment="1">
      <alignment horizontal="left" vertical="top" wrapText="1"/>
    </xf>
    <xf numFmtId="0" fontId="36" fillId="24" borderId="10" xfId="46" applyFont="1" applyFill="1" applyBorder="1" applyAlignment="1">
      <alignment horizontal="left" vertical="top" wrapText="1"/>
    </xf>
    <xf numFmtId="49" fontId="36" fillId="24" borderId="12" xfId="43" applyNumberFormat="1" applyFont="1" applyFill="1" applyBorder="1" applyAlignment="1" applyProtection="1">
      <alignment horizontal="left" vertical="top" wrapText="1"/>
      <protection hidden="1"/>
    </xf>
    <xf numFmtId="2" fontId="36" fillId="24" borderId="10" xfId="43" applyNumberFormat="1" applyFont="1" applyFill="1" applyBorder="1" applyAlignment="1" applyProtection="1">
      <alignment horizontal="left" vertical="top" wrapText="1"/>
      <protection hidden="1"/>
    </xf>
    <xf numFmtId="49" fontId="39" fillId="24" borderId="10" xfId="0" applyNumberFormat="1" applyFont="1" applyFill="1" applyBorder="1" applyAlignment="1">
      <alignment horizontal="center" vertical="top"/>
    </xf>
    <xf numFmtId="49" fontId="36" fillId="24" borderId="10" xfId="43" applyNumberFormat="1" applyFont="1" applyFill="1" applyBorder="1" applyAlignment="1">
      <alignment horizontal="left" vertical="top" wrapText="1"/>
    </xf>
    <xf numFmtId="0" fontId="36" fillId="24" borderId="10" xfId="0" applyNumberFormat="1" applyFont="1" applyFill="1" applyBorder="1" applyAlignment="1">
      <alignment horizontal="left" vertical="top" wrapText="1"/>
    </xf>
    <xf numFmtId="4" fontId="36" fillId="24" borderId="10" xfId="0" applyNumberFormat="1" applyFont="1" applyFill="1" applyBorder="1" applyAlignment="1">
      <alignment horizontal="left" vertical="top" wrapText="1"/>
    </xf>
    <xf numFmtId="2" fontId="39" fillId="24" borderId="10" xfId="0" applyNumberFormat="1" applyFont="1" applyFill="1" applyBorder="1" applyAlignment="1">
      <alignment horizontal="left" vertical="top" wrapText="1"/>
    </xf>
    <xf numFmtId="166" fontId="36" fillId="24" borderId="10" xfId="0" applyNumberFormat="1" applyFont="1" applyFill="1" applyBorder="1" applyAlignment="1">
      <alignment horizontal="center" vertical="top"/>
    </xf>
    <xf numFmtId="165" fontId="36" fillId="24" borderId="10" xfId="43" applyNumberFormat="1" applyFont="1" applyFill="1" applyBorder="1" applyAlignment="1">
      <alignment horizontal="left" vertical="top" wrapText="1"/>
    </xf>
    <xf numFmtId="0" fontId="36" fillId="24" borderId="10" xfId="0" applyFont="1" applyFill="1" applyBorder="1" applyAlignment="1" applyProtection="1">
      <alignment horizontal="center" vertical="justify" wrapText="1"/>
      <protection locked="0"/>
    </xf>
    <xf numFmtId="164" fontId="36" fillId="0" borderId="10" xfId="0" applyNumberFormat="1" applyFont="1" applyBorder="1" applyAlignment="1">
      <alignment horizontal="center" vertical="top" wrapText="1"/>
    </xf>
    <xf numFmtId="164" fontId="36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36" fillId="0" borderId="10" xfId="0" applyFont="1" applyBorder="1" applyAlignment="1">
      <alignment horizontal="center" vertical="top" wrapText="1"/>
    </xf>
    <xf numFmtId="0" fontId="12" fillId="24" borderId="0" xfId="0" applyFont="1" applyFill="1" applyBorder="1" applyAlignment="1" applyProtection="1">
      <alignment horizontal="center" vertical="top" wrapText="1"/>
      <protection locked="0"/>
    </xf>
    <xf numFmtId="0" fontId="14" fillId="24" borderId="11" xfId="0" applyFont="1" applyFill="1" applyBorder="1" applyAlignment="1">
      <alignment horizontal="right" vertical="top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 applyProtection="1">
      <alignment horizontal="justify" vertical="justify" wrapText="1"/>
      <protection locked="0"/>
    </xf>
    <xf numFmtId="0" fontId="14" fillId="24" borderId="11" xfId="0" applyFont="1" applyFill="1" applyBorder="1" applyAlignment="1">
      <alignment horizontal="center" vertical="top"/>
    </xf>
    <xf numFmtId="0" fontId="36" fillId="24" borderId="10" xfId="0" applyFont="1" applyFill="1" applyBorder="1" applyAlignment="1">
      <alignment horizontal="center" vertical="top" wrapText="1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horizontal="center"/>
    </xf>
    <xf numFmtId="1" fontId="36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36" fillId="24" borderId="13" xfId="0" applyFont="1" applyFill="1" applyBorder="1" applyAlignment="1">
      <alignment horizontal="center" vertical="top" wrapText="1"/>
    </xf>
    <xf numFmtId="0" fontId="36" fillId="24" borderId="13" xfId="0" applyFont="1" applyFill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36" fillId="24" borderId="14" xfId="0" applyFont="1" applyFill="1" applyBorder="1" applyAlignment="1">
      <alignment horizontal="center" vertical="top" wrapText="1"/>
    </xf>
    <xf numFmtId="49" fontId="36" fillId="24" borderId="14" xfId="0" applyNumberFormat="1" applyFont="1" applyFill="1" applyBorder="1" applyAlignment="1">
      <alignment horizontal="center" vertical="top" wrapText="1"/>
    </xf>
  </cellXfs>
  <cellStyles count="6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10" xfId="66"/>
    <cellStyle name="Обычный 2 11" xfId="68"/>
    <cellStyle name="Обычный 2 2" xfId="50"/>
    <cellStyle name="Обычный 2 2 2" xfId="43"/>
    <cellStyle name="Обычный 2 3" xfId="52"/>
    <cellStyle name="Обычный 2 4" xfId="54"/>
    <cellStyle name="Обычный 2 5" xfId="56"/>
    <cellStyle name="Обычный 2 6" xfId="58"/>
    <cellStyle name="Обычный 2 7" xfId="60"/>
    <cellStyle name="Обычный 2 8" xfId="62"/>
    <cellStyle name="Обычный 2 9" xfId="64"/>
    <cellStyle name="Обычный 3" xfId="44"/>
    <cellStyle name="Обычный 3 10" xfId="65"/>
    <cellStyle name="Обычный 3 11" xfId="67"/>
    <cellStyle name="Обычный 3 2" xfId="48"/>
    <cellStyle name="Обычный 3 3" xfId="51"/>
    <cellStyle name="Обычный 3 4" xfId="53"/>
    <cellStyle name="Обычный 3 5" xfId="55"/>
    <cellStyle name="Обычный 3 6" xfId="57"/>
    <cellStyle name="Обычный 3 7" xfId="59"/>
    <cellStyle name="Обычный 3 8" xfId="61"/>
    <cellStyle name="Обычный 3 9" xfId="6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Процентный 2 2" xfId="49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Финансовый 2 2" xfId="47"/>
    <cellStyle name="Хороший" xfId="42" builtinId="26" customBuiltin="1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96982</xdr:colOff>
      <xdr:row>0</xdr:row>
      <xdr:rowOff>90055</xdr:rowOff>
    </xdr:from>
    <xdr:to>
      <xdr:col>13</xdr:col>
      <xdr:colOff>34116</xdr:colOff>
      <xdr:row>9</xdr:row>
      <xdr:rowOff>34637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402782" y="90055"/>
          <a:ext cx="2763461" cy="193963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Приложение 3 </a:t>
          </a:r>
        </a:p>
        <a:p>
          <a:pPr algn="l" rtl="0">
            <a:defRPr sz="1000"/>
          </a:pPr>
          <a:endParaRPr lang="ru-RU" sz="1400"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algn="l" rtl="0">
            <a:defRPr sz="1000"/>
          </a:pPr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УТВЕРЖДЕНЫ</a:t>
          </a:r>
        </a:p>
        <a:p>
          <a:pPr algn="l" rtl="0">
            <a:defRPr sz="1000"/>
          </a:pPr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постановлением администрации </a:t>
          </a:r>
        </a:p>
        <a:p>
          <a:pPr algn="l" rtl="0">
            <a:defRPr sz="1000"/>
          </a:pPr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муниципального образования</a:t>
          </a:r>
        </a:p>
        <a:p>
          <a:pPr algn="l" rtl="0">
            <a:defRPr sz="1000"/>
          </a:pPr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Туапсинский район</a:t>
          </a:r>
        </a:p>
        <a:p>
          <a:pPr algn="l" rtl="0">
            <a:defRPr sz="1000"/>
          </a:pPr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от  26.10.2023 № 1960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Y1768"/>
  <sheetViews>
    <sheetView showGridLines="0" tabSelected="1" view="pageBreakPreview" zoomScale="110" zoomScaleNormal="90" zoomScaleSheetLayoutView="110" workbookViewId="0">
      <selection activeCell="A12" sqref="A12:M12"/>
    </sheetView>
  </sheetViews>
  <sheetFormatPr defaultColWidth="9.140625" defaultRowHeight="18" x14ac:dyDescent="0.2"/>
  <cols>
    <col min="1" max="1" width="4.7109375" style="11" customWidth="1"/>
    <col min="2" max="2" width="58.7109375" style="32" customWidth="1"/>
    <col min="3" max="3" width="4.5703125" style="3" customWidth="1"/>
    <col min="4" max="4" width="4.28515625" style="4" customWidth="1"/>
    <col min="5" max="5" width="3.7109375" style="4" customWidth="1"/>
    <col min="6" max="6" width="3.28515625" style="4" customWidth="1"/>
    <col min="7" max="7" width="3.28515625" style="3" customWidth="1"/>
    <col min="8" max="8" width="3.28515625" style="4" customWidth="1"/>
    <col min="9" max="9" width="7.28515625" style="4" customWidth="1"/>
    <col min="10" max="10" width="4.5703125" style="4" customWidth="1"/>
    <col min="11" max="11" width="13.5703125" style="3" customWidth="1"/>
    <col min="12" max="12" width="13.28515625" style="14" customWidth="1"/>
    <col min="13" max="13" width="14.28515625" style="11" customWidth="1"/>
    <col min="14" max="14" width="4.28515625" style="11" customWidth="1"/>
    <col min="15" max="15" width="5.7109375" style="11" customWidth="1"/>
    <col min="16" max="16" width="6.28515625" style="11" customWidth="1"/>
    <col min="17" max="17" width="6" style="11" customWidth="1"/>
    <col min="18" max="18" width="6.140625" style="11" customWidth="1"/>
    <col min="19" max="19" width="5.7109375" style="11" customWidth="1"/>
    <col min="20" max="20" width="5.42578125" style="11" customWidth="1"/>
    <col min="21" max="21" width="4.5703125" style="11" customWidth="1"/>
    <col min="22" max="22" width="4.28515625" style="11" customWidth="1"/>
    <col min="23" max="16384" width="9.140625" style="11"/>
  </cols>
  <sheetData>
    <row r="10" spans="1:18" ht="18" customHeight="1" x14ac:dyDescent="0.2">
      <c r="A10" s="76" t="s">
        <v>582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18" ht="18" customHeight="1" x14ac:dyDescent="0.3">
      <c r="A11" s="82" t="s">
        <v>583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</row>
    <row r="12" spans="1:18" ht="18" customHeight="1" x14ac:dyDescent="0.3">
      <c r="A12" s="82" t="s">
        <v>584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pans="1:18" ht="15.75" customHeight="1" x14ac:dyDescent="0.3">
      <c r="A13" s="83" t="s">
        <v>587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18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18" ht="18.75" x14ac:dyDescent="0.2">
      <c r="A15" s="1"/>
      <c r="B15" s="30"/>
      <c r="C15" s="1"/>
      <c r="D15" s="1"/>
      <c r="E15" s="1"/>
      <c r="F15" s="7"/>
      <c r="G15" s="1"/>
      <c r="H15" s="7"/>
      <c r="I15" s="7"/>
      <c r="J15" s="80"/>
      <c r="K15" s="80"/>
      <c r="L15" s="77" t="s">
        <v>98</v>
      </c>
      <c r="M15" s="77"/>
    </row>
    <row r="16" spans="1:18" ht="36.75" customHeight="1" x14ac:dyDescent="0.2">
      <c r="A16" s="78" t="s">
        <v>0</v>
      </c>
      <c r="B16" s="79" t="s">
        <v>39</v>
      </c>
      <c r="C16" s="78" t="s">
        <v>38</v>
      </c>
      <c r="D16" s="78" t="s">
        <v>37</v>
      </c>
      <c r="E16" s="78"/>
      <c r="F16" s="78"/>
      <c r="G16" s="78"/>
      <c r="H16" s="78"/>
      <c r="I16" s="78"/>
      <c r="J16" s="78"/>
      <c r="K16" s="81" t="s">
        <v>243</v>
      </c>
      <c r="L16" s="73" t="s">
        <v>585</v>
      </c>
      <c r="M16" s="74" t="s">
        <v>586</v>
      </c>
      <c r="R16" s="12"/>
    </row>
    <row r="17" spans="1:14" ht="36.75" customHeight="1" x14ac:dyDescent="0.2">
      <c r="A17" s="78"/>
      <c r="B17" s="79"/>
      <c r="C17" s="78"/>
      <c r="D17" s="19" t="s">
        <v>33</v>
      </c>
      <c r="E17" s="19" t="s">
        <v>34</v>
      </c>
      <c r="F17" s="78" t="s">
        <v>35</v>
      </c>
      <c r="G17" s="78"/>
      <c r="H17" s="78"/>
      <c r="I17" s="78"/>
      <c r="J17" s="19" t="s">
        <v>36</v>
      </c>
      <c r="K17" s="81"/>
      <c r="L17" s="73"/>
      <c r="M17" s="75"/>
    </row>
    <row r="18" spans="1:14" x14ac:dyDescent="0.2">
      <c r="A18" s="29">
        <v>1</v>
      </c>
      <c r="B18" s="72">
        <v>2</v>
      </c>
      <c r="C18" s="29">
        <v>3</v>
      </c>
      <c r="D18" s="29">
        <v>4</v>
      </c>
      <c r="E18" s="29">
        <v>5</v>
      </c>
      <c r="F18" s="29">
        <v>6</v>
      </c>
      <c r="G18" s="29">
        <v>7</v>
      </c>
      <c r="H18" s="29">
        <v>8</v>
      </c>
      <c r="I18" s="29">
        <v>9</v>
      </c>
      <c r="J18" s="29">
        <v>10</v>
      </c>
      <c r="K18" s="29">
        <v>11</v>
      </c>
      <c r="L18" s="39">
        <v>12</v>
      </c>
      <c r="M18" s="39">
        <v>13</v>
      </c>
      <c r="N18" s="24"/>
    </row>
    <row r="19" spans="1:14" ht="21.6" customHeight="1" x14ac:dyDescent="0.2">
      <c r="A19" s="40"/>
      <c r="B19" s="41" t="s">
        <v>40</v>
      </c>
      <c r="C19" s="40"/>
      <c r="D19" s="40"/>
      <c r="E19" s="40"/>
      <c r="F19" s="8"/>
      <c r="G19" s="40"/>
      <c r="H19" s="8"/>
      <c r="I19" s="8"/>
      <c r="J19" s="40"/>
      <c r="K19" s="17">
        <f>SUM(K20+K28+K237+K331+K368+K443+K537+K593+K643+K941+K1049+K1182+K1256+K1291+K1230)</f>
        <v>4763356.7300399998</v>
      </c>
      <c r="L19" s="17">
        <f>SUM(L20+L28+L237+L331+L368+L443+L537+L593+L643+L941+L1049+L1182+L1256+L1291+L1230)</f>
        <v>3615583.1999999997</v>
      </c>
      <c r="M19" s="17">
        <f>L19/K19*100</f>
        <v>75.904103028824338</v>
      </c>
      <c r="N19" s="12"/>
    </row>
    <row r="20" spans="1:14" ht="31.5" x14ac:dyDescent="0.2">
      <c r="A20" s="84">
        <v>1</v>
      </c>
      <c r="B20" s="47" t="s">
        <v>49</v>
      </c>
      <c r="C20" s="8">
        <v>901</v>
      </c>
      <c r="D20" s="44"/>
      <c r="E20" s="44"/>
      <c r="F20" s="8"/>
      <c r="G20" s="44"/>
      <c r="H20" s="8"/>
      <c r="I20" s="8"/>
      <c r="J20" s="44"/>
      <c r="K20" s="17">
        <f t="shared" ref="K20:L24" si="0">SUM(K21)</f>
        <v>1664.3</v>
      </c>
      <c r="L20" s="17">
        <f t="shared" si="0"/>
        <v>1041.5</v>
      </c>
      <c r="M20" s="17">
        <f t="shared" ref="M20:M83" si="1">L20/K20*100</f>
        <v>62.578861984017308</v>
      </c>
    </row>
    <row r="21" spans="1:14" x14ac:dyDescent="0.2">
      <c r="A21" s="85"/>
      <c r="B21" s="33" t="s">
        <v>1</v>
      </c>
      <c r="C21" s="8">
        <v>901</v>
      </c>
      <c r="D21" s="8" t="s">
        <v>2</v>
      </c>
      <c r="E21" s="8"/>
      <c r="F21" s="8"/>
      <c r="G21" s="8"/>
      <c r="H21" s="8"/>
      <c r="I21" s="8"/>
      <c r="J21" s="8"/>
      <c r="K21" s="17">
        <f t="shared" si="0"/>
        <v>1664.3</v>
      </c>
      <c r="L21" s="17">
        <f t="shared" si="0"/>
        <v>1041.5</v>
      </c>
      <c r="M21" s="17">
        <f t="shared" si="1"/>
        <v>62.578861984017308</v>
      </c>
    </row>
    <row r="22" spans="1:14" ht="47.45" customHeight="1" x14ac:dyDescent="0.2">
      <c r="A22" s="85"/>
      <c r="B22" s="33" t="s">
        <v>181</v>
      </c>
      <c r="C22" s="42">
        <v>901</v>
      </c>
      <c r="D22" s="13" t="s">
        <v>2</v>
      </c>
      <c r="E22" s="13" t="s">
        <v>5</v>
      </c>
      <c r="F22" s="13"/>
      <c r="G22" s="25"/>
      <c r="H22" s="13"/>
      <c r="I22" s="13"/>
      <c r="J22" s="13"/>
      <c r="K22" s="17">
        <f t="shared" si="0"/>
        <v>1664.3</v>
      </c>
      <c r="L22" s="17">
        <f t="shared" si="0"/>
        <v>1041.5</v>
      </c>
      <c r="M22" s="17">
        <f t="shared" si="1"/>
        <v>62.578861984017308</v>
      </c>
    </row>
    <row r="23" spans="1:14" ht="34.9" customHeight="1" x14ac:dyDescent="0.2">
      <c r="A23" s="85"/>
      <c r="B23" s="33" t="s">
        <v>81</v>
      </c>
      <c r="C23" s="42">
        <v>901</v>
      </c>
      <c r="D23" s="13" t="s">
        <v>2</v>
      </c>
      <c r="E23" s="13" t="s">
        <v>5</v>
      </c>
      <c r="F23" s="13">
        <v>51</v>
      </c>
      <c r="G23" s="25"/>
      <c r="H23" s="13"/>
      <c r="I23" s="13"/>
      <c r="J23" s="13"/>
      <c r="K23" s="17">
        <f t="shared" si="0"/>
        <v>1664.3</v>
      </c>
      <c r="L23" s="17">
        <f t="shared" si="0"/>
        <v>1041.5</v>
      </c>
      <c r="M23" s="17">
        <f t="shared" si="1"/>
        <v>62.578861984017308</v>
      </c>
    </row>
    <row r="24" spans="1:14" ht="34.15" customHeight="1" x14ac:dyDescent="0.2">
      <c r="A24" s="85"/>
      <c r="B24" s="33" t="s">
        <v>105</v>
      </c>
      <c r="C24" s="42">
        <v>901</v>
      </c>
      <c r="D24" s="13" t="s">
        <v>2</v>
      </c>
      <c r="E24" s="13" t="s">
        <v>5</v>
      </c>
      <c r="F24" s="13">
        <v>51</v>
      </c>
      <c r="G24" s="25">
        <v>1</v>
      </c>
      <c r="H24" s="13"/>
      <c r="I24" s="13"/>
      <c r="J24" s="13"/>
      <c r="K24" s="17">
        <f t="shared" si="0"/>
        <v>1664.3</v>
      </c>
      <c r="L24" s="17">
        <f t="shared" si="0"/>
        <v>1041.5</v>
      </c>
      <c r="M24" s="17">
        <f t="shared" si="1"/>
        <v>62.578861984017308</v>
      </c>
    </row>
    <row r="25" spans="1:14" ht="31.5" x14ac:dyDescent="0.2">
      <c r="A25" s="85"/>
      <c r="B25" s="33" t="s">
        <v>54</v>
      </c>
      <c r="C25" s="42">
        <v>901</v>
      </c>
      <c r="D25" s="13" t="s">
        <v>2</v>
      </c>
      <c r="E25" s="13" t="s">
        <v>5</v>
      </c>
      <c r="F25" s="13">
        <v>51</v>
      </c>
      <c r="G25" s="25">
        <v>1</v>
      </c>
      <c r="H25" s="13" t="s">
        <v>102</v>
      </c>
      <c r="I25" s="13" t="s">
        <v>104</v>
      </c>
      <c r="J25" s="13"/>
      <c r="K25" s="17">
        <f>SUM(K26+K27)</f>
        <v>1664.3</v>
      </c>
      <c r="L25" s="17">
        <f>SUM(L26+L27)</f>
        <v>1041.5</v>
      </c>
      <c r="M25" s="17">
        <f t="shared" si="1"/>
        <v>62.578861984017308</v>
      </c>
    </row>
    <row r="26" spans="1:14" s="12" customFormat="1" ht="49.9" customHeight="1" x14ac:dyDescent="0.2">
      <c r="A26" s="85"/>
      <c r="B26" s="33" t="s">
        <v>55</v>
      </c>
      <c r="C26" s="42">
        <v>901</v>
      </c>
      <c r="D26" s="13" t="s">
        <v>2</v>
      </c>
      <c r="E26" s="13" t="s">
        <v>5</v>
      </c>
      <c r="F26" s="13">
        <v>51</v>
      </c>
      <c r="G26" s="25">
        <v>1</v>
      </c>
      <c r="H26" s="13" t="s">
        <v>102</v>
      </c>
      <c r="I26" s="13" t="s">
        <v>104</v>
      </c>
      <c r="J26" s="13" t="s">
        <v>56</v>
      </c>
      <c r="K26" s="17">
        <v>1600</v>
      </c>
      <c r="L26" s="17">
        <v>1000</v>
      </c>
      <c r="M26" s="17">
        <f t="shared" si="1"/>
        <v>62.5</v>
      </c>
    </row>
    <row r="27" spans="1:14" s="12" customFormat="1" ht="31.5" x14ac:dyDescent="0.2">
      <c r="A27" s="86"/>
      <c r="B27" s="33" t="s">
        <v>175</v>
      </c>
      <c r="C27" s="42">
        <v>901</v>
      </c>
      <c r="D27" s="13" t="s">
        <v>2</v>
      </c>
      <c r="E27" s="13" t="s">
        <v>5</v>
      </c>
      <c r="F27" s="13">
        <v>51</v>
      </c>
      <c r="G27" s="25">
        <v>1</v>
      </c>
      <c r="H27" s="13" t="s">
        <v>102</v>
      </c>
      <c r="I27" s="13" t="s">
        <v>104</v>
      </c>
      <c r="J27" s="13" t="s">
        <v>58</v>
      </c>
      <c r="K27" s="17">
        <v>64.3</v>
      </c>
      <c r="L27" s="17">
        <v>41.5</v>
      </c>
      <c r="M27" s="17">
        <f t="shared" si="1"/>
        <v>64.541213063763621</v>
      </c>
    </row>
    <row r="28" spans="1:14" s="12" customFormat="1" ht="51" customHeight="1" x14ac:dyDescent="0.2">
      <c r="A28" s="87">
        <v>2</v>
      </c>
      <c r="B28" s="48" t="s">
        <v>87</v>
      </c>
      <c r="C28" s="42">
        <v>902</v>
      </c>
      <c r="D28" s="26"/>
      <c r="E28" s="26"/>
      <c r="F28" s="26"/>
      <c r="G28" s="42"/>
      <c r="H28" s="26"/>
      <c r="I28" s="26"/>
      <c r="J28" s="26"/>
      <c r="K28" s="17">
        <f>SUM(K29+K125+K145+K192+K199+K230+K131+K185)</f>
        <v>1437199.9999999998</v>
      </c>
      <c r="L28" s="17">
        <f>SUM(L29+L125+L145+L192+L199+L230+L131+L185)</f>
        <v>1282455.1999999997</v>
      </c>
      <c r="M28" s="17">
        <f t="shared" si="1"/>
        <v>89.232897300306149</v>
      </c>
    </row>
    <row r="29" spans="1:14" s="12" customFormat="1" x14ac:dyDescent="0.2">
      <c r="A29" s="85"/>
      <c r="B29" s="33" t="s">
        <v>1</v>
      </c>
      <c r="C29" s="42">
        <v>902</v>
      </c>
      <c r="D29" s="26" t="s">
        <v>2</v>
      </c>
      <c r="E29" s="49"/>
      <c r="F29" s="13"/>
      <c r="G29" s="25"/>
      <c r="H29" s="13"/>
      <c r="I29" s="13"/>
      <c r="J29" s="13"/>
      <c r="K29" s="17">
        <f>SUM(K30+K35+K72+K62+K67)</f>
        <v>1304880.6000000001</v>
      </c>
      <c r="L29" s="17">
        <f>SUM(L30+L35+L72+L62+L67)</f>
        <v>1214910.8999999997</v>
      </c>
      <c r="M29" s="17">
        <f t="shared" si="1"/>
        <v>93.105139274811776</v>
      </c>
    </row>
    <row r="30" spans="1:14" s="12" customFormat="1" ht="36" customHeight="1" x14ac:dyDescent="0.2">
      <c r="A30" s="85"/>
      <c r="B30" s="33" t="s">
        <v>3</v>
      </c>
      <c r="C30" s="42">
        <v>902</v>
      </c>
      <c r="D30" s="13" t="s">
        <v>2</v>
      </c>
      <c r="E30" s="13" t="s">
        <v>4</v>
      </c>
      <c r="F30" s="13"/>
      <c r="G30" s="25"/>
      <c r="H30" s="13"/>
      <c r="I30" s="13"/>
      <c r="J30" s="13"/>
      <c r="K30" s="17">
        <f t="shared" ref="K30:L32" si="2">SUM(K31)</f>
        <v>2849.6000000000004</v>
      </c>
      <c r="L30" s="17">
        <f t="shared" si="2"/>
        <v>2072.5</v>
      </c>
      <c r="M30" s="17">
        <f t="shared" si="1"/>
        <v>72.729505895564287</v>
      </c>
    </row>
    <row r="31" spans="1:14" s="12" customFormat="1" ht="51" customHeight="1" x14ac:dyDescent="0.2">
      <c r="A31" s="85"/>
      <c r="B31" s="33" t="s">
        <v>57</v>
      </c>
      <c r="C31" s="42">
        <v>902</v>
      </c>
      <c r="D31" s="13" t="s">
        <v>2</v>
      </c>
      <c r="E31" s="13" t="s">
        <v>4</v>
      </c>
      <c r="F31" s="13">
        <v>50</v>
      </c>
      <c r="G31" s="25"/>
      <c r="H31" s="13"/>
      <c r="I31" s="13"/>
      <c r="J31" s="13"/>
      <c r="K31" s="17">
        <f t="shared" si="2"/>
        <v>2849.6000000000004</v>
      </c>
      <c r="L31" s="17">
        <f t="shared" si="2"/>
        <v>2072.5</v>
      </c>
      <c r="M31" s="17">
        <f t="shared" si="1"/>
        <v>72.729505895564287</v>
      </c>
    </row>
    <row r="32" spans="1:14" s="12" customFormat="1" x14ac:dyDescent="0.2">
      <c r="A32" s="85"/>
      <c r="B32" s="33" t="s">
        <v>106</v>
      </c>
      <c r="C32" s="42">
        <v>902</v>
      </c>
      <c r="D32" s="13" t="s">
        <v>2</v>
      </c>
      <c r="E32" s="13" t="s">
        <v>4</v>
      </c>
      <c r="F32" s="13">
        <v>50</v>
      </c>
      <c r="G32" s="25">
        <v>1</v>
      </c>
      <c r="H32" s="13"/>
      <c r="I32" s="13"/>
      <c r="J32" s="13"/>
      <c r="K32" s="17">
        <f t="shared" si="2"/>
        <v>2849.6000000000004</v>
      </c>
      <c r="L32" s="17">
        <f t="shared" si="2"/>
        <v>2072.5</v>
      </c>
      <c r="M32" s="17">
        <f t="shared" si="1"/>
        <v>72.729505895564287</v>
      </c>
    </row>
    <row r="33" spans="1:13" s="12" customFormat="1" ht="31.5" x14ac:dyDescent="0.2">
      <c r="A33" s="85"/>
      <c r="B33" s="33" t="s">
        <v>54</v>
      </c>
      <c r="C33" s="42">
        <v>902</v>
      </c>
      <c r="D33" s="13" t="s">
        <v>2</v>
      </c>
      <c r="E33" s="13" t="s">
        <v>4</v>
      </c>
      <c r="F33" s="13">
        <v>50</v>
      </c>
      <c r="G33" s="25">
        <v>1</v>
      </c>
      <c r="H33" s="13" t="s">
        <v>102</v>
      </c>
      <c r="I33" s="13" t="s">
        <v>104</v>
      </c>
      <c r="J33" s="13"/>
      <c r="K33" s="17">
        <f>SUM(K34:K34)</f>
        <v>2849.6000000000004</v>
      </c>
      <c r="L33" s="17">
        <f>SUM(L34:L34)</f>
        <v>2072.5</v>
      </c>
      <c r="M33" s="17">
        <f t="shared" si="1"/>
        <v>72.729505895564287</v>
      </c>
    </row>
    <row r="34" spans="1:13" s="12" customFormat="1" ht="51.6" customHeight="1" x14ac:dyDescent="0.2">
      <c r="A34" s="85"/>
      <c r="B34" s="33" t="s">
        <v>55</v>
      </c>
      <c r="C34" s="42">
        <v>902</v>
      </c>
      <c r="D34" s="13" t="s">
        <v>2</v>
      </c>
      <c r="E34" s="13" t="s">
        <v>4</v>
      </c>
      <c r="F34" s="13">
        <v>50</v>
      </c>
      <c r="G34" s="25">
        <v>1</v>
      </c>
      <c r="H34" s="13" t="s">
        <v>102</v>
      </c>
      <c r="I34" s="13" t="s">
        <v>104</v>
      </c>
      <c r="J34" s="13" t="s">
        <v>56</v>
      </c>
      <c r="K34" s="17">
        <f>2821.4+28.3-0.1</f>
        <v>2849.6000000000004</v>
      </c>
      <c r="L34" s="17">
        <v>2072.5</v>
      </c>
      <c r="M34" s="17">
        <f t="shared" si="1"/>
        <v>72.729505895564287</v>
      </c>
    </row>
    <row r="35" spans="1:13" s="12" customFormat="1" ht="53.45" customHeight="1" x14ac:dyDescent="0.2">
      <c r="A35" s="85"/>
      <c r="B35" s="33" t="s">
        <v>52</v>
      </c>
      <c r="C35" s="42">
        <v>902</v>
      </c>
      <c r="D35" s="13" t="s">
        <v>2</v>
      </c>
      <c r="E35" s="13" t="s">
        <v>6</v>
      </c>
      <c r="F35" s="13"/>
      <c r="G35" s="25"/>
      <c r="H35" s="13"/>
      <c r="I35" s="13"/>
      <c r="J35" s="13"/>
      <c r="K35" s="17">
        <f>K36+K41</f>
        <v>103405.7</v>
      </c>
      <c r="L35" s="17">
        <f>L36+L41</f>
        <v>73300.400000000009</v>
      </c>
      <c r="M35" s="17">
        <f t="shared" si="1"/>
        <v>70.886227741797612</v>
      </c>
    </row>
    <row r="36" spans="1:13" s="12" customFormat="1" ht="47.45" customHeight="1" x14ac:dyDescent="0.2">
      <c r="A36" s="85"/>
      <c r="B36" s="50" t="s">
        <v>260</v>
      </c>
      <c r="C36" s="42">
        <v>902</v>
      </c>
      <c r="D36" s="13" t="s">
        <v>2</v>
      </c>
      <c r="E36" s="13" t="s">
        <v>6</v>
      </c>
      <c r="F36" s="13" t="s">
        <v>24</v>
      </c>
      <c r="G36" s="25"/>
      <c r="H36" s="13"/>
      <c r="I36" s="13"/>
      <c r="J36" s="13"/>
      <c r="K36" s="17">
        <f t="shared" ref="K36:L39" si="3">K37</f>
        <v>78</v>
      </c>
      <c r="L36" s="17">
        <f t="shared" si="3"/>
        <v>0</v>
      </c>
      <c r="M36" s="17">
        <f t="shared" si="1"/>
        <v>0</v>
      </c>
    </row>
    <row r="37" spans="1:13" s="12" customFormat="1" ht="67.150000000000006" customHeight="1" x14ac:dyDescent="0.2">
      <c r="A37" s="85"/>
      <c r="B37" s="50" t="s">
        <v>261</v>
      </c>
      <c r="C37" s="42">
        <v>902</v>
      </c>
      <c r="D37" s="13" t="s">
        <v>2</v>
      </c>
      <c r="E37" s="13" t="s">
        <v>6</v>
      </c>
      <c r="F37" s="13" t="s">
        <v>24</v>
      </c>
      <c r="G37" s="25">
        <v>1</v>
      </c>
      <c r="H37" s="13"/>
      <c r="I37" s="13"/>
      <c r="J37" s="13"/>
      <c r="K37" s="17">
        <f t="shared" si="3"/>
        <v>78</v>
      </c>
      <c r="L37" s="17">
        <f t="shared" si="3"/>
        <v>0</v>
      </c>
      <c r="M37" s="17">
        <f t="shared" si="1"/>
        <v>0</v>
      </c>
    </row>
    <row r="38" spans="1:13" s="12" customFormat="1" ht="31.5" x14ac:dyDescent="0.2">
      <c r="A38" s="85"/>
      <c r="B38" s="33" t="s">
        <v>120</v>
      </c>
      <c r="C38" s="42">
        <v>902</v>
      </c>
      <c r="D38" s="13" t="s">
        <v>2</v>
      </c>
      <c r="E38" s="13" t="s">
        <v>6</v>
      </c>
      <c r="F38" s="13" t="s">
        <v>24</v>
      </c>
      <c r="G38" s="25">
        <v>1</v>
      </c>
      <c r="H38" s="13" t="s">
        <v>6</v>
      </c>
      <c r="I38" s="13"/>
      <c r="J38" s="13"/>
      <c r="K38" s="17">
        <f t="shared" si="3"/>
        <v>78</v>
      </c>
      <c r="L38" s="17">
        <f t="shared" si="3"/>
        <v>0</v>
      </c>
      <c r="M38" s="17">
        <f t="shared" si="1"/>
        <v>0</v>
      </c>
    </row>
    <row r="39" spans="1:13" s="12" customFormat="1" ht="116.45" customHeight="1" x14ac:dyDescent="0.2">
      <c r="A39" s="85"/>
      <c r="B39" s="51" t="s">
        <v>570</v>
      </c>
      <c r="C39" s="42">
        <v>902</v>
      </c>
      <c r="D39" s="13" t="s">
        <v>2</v>
      </c>
      <c r="E39" s="13" t="s">
        <v>6</v>
      </c>
      <c r="F39" s="13" t="s">
        <v>24</v>
      </c>
      <c r="G39" s="25">
        <v>1</v>
      </c>
      <c r="H39" s="13" t="s">
        <v>6</v>
      </c>
      <c r="I39" s="13" t="s">
        <v>121</v>
      </c>
      <c r="J39" s="13"/>
      <c r="K39" s="17">
        <f t="shared" si="3"/>
        <v>78</v>
      </c>
      <c r="L39" s="17">
        <f t="shared" si="3"/>
        <v>0</v>
      </c>
      <c r="M39" s="17">
        <f t="shared" si="1"/>
        <v>0</v>
      </c>
    </row>
    <row r="40" spans="1:13" s="12" customFormat="1" ht="31.5" x14ac:dyDescent="0.2">
      <c r="A40" s="85"/>
      <c r="B40" s="33" t="s">
        <v>175</v>
      </c>
      <c r="C40" s="42">
        <v>902</v>
      </c>
      <c r="D40" s="13" t="s">
        <v>2</v>
      </c>
      <c r="E40" s="13" t="s">
        <v>6</v>
      </c>
      <c r="F40" s="13" t="s">
        <v>24</v>
      </c>
      <c r="G40" s="25">
        <v>1</v>
      </c>
      <c r="H40" s="13" t="s">
        <v>6</v>
      </c>
      <c r="I40" s="13" t="s">
        <v>121</v>
      </c>
      <c r="J40" s="13" t="s">
        <v>58</v>
      </c>
      <c r="K40" s="17">
        <v>78</v>
      </c>
      <c r="L40" s="17">
        <v>0</v>
      </c>
      <c r="M40" s="17">
        <f t="shared" si="1"/>
        <v>0</v>
      </c>
    </row>
    <row r="41" spans="1:13" ht="31.5" x14ac:dyDescent="0.2">
      <c r="A41" s="85"/>
      <c r="B41" s="33" t="s">
        <v>89</v>
      </c>
      <c r="C41" s="42">
        <v>902</v>
      </c>
      <c r="D41" s="13" t="s">
        <v>2</v>
      </c>
      <c r="E41" s="13" t="s">
        <v>6</v>
      </c>
      <c r="F41" s="13">
        <v>52</v>
      </c>
      <c r="G41" s="25"/>
      <c r="H41" s="13"/>
      <c r="I41" s="13"/>
      <c r="J41" s="13"/>
      <c r="K41" s="17">
        <f>SUM(K42+K55)</f>
        <v>103327.7</v>
      </c>
      <c r="L41" s="17">
        <f>SUM(L42+L55)</f>
        <v>73300.400000000009</v>
      </c>
      <c r="M41" s="17">
        <f t="shared" si="1"/>
        <v>70.939738327670128</v>
      </c>
    </row>
    <row r="42" spans="1:13" ht="31.5" x14ac:dyDescent="0.2">
      <c r="A42" s="85"/>
      <c r="B42" s="33" t="s">
        <v>59</v>
      </c>
      <c r="C42" s="42">
        <v>902</v>
      </c>
      <c r="D42" s="13" t="s">
        <v>2</v>
      </c>
      <c r="E42" s="13" t="s">
        <v>6</v>
      </c>
      <c r="F42" s="13">
        <v>52</v>
      </c>
      <c r="G42" s="25">
        <v>1</v>
      </c>
      <c r="H42" s="13"/>
      <c r="I42" s="13"/>
      <c r="J42" s="13"/>
      <c r="K42" s="17">
        <f>K43+K49+K52</f>
        <v>101867.8</v>
      </c>
      <c r="L42" s="17">
        <f>L43+L49+L52</f>
        <v>72558.400000000009</v>
      </c>
      <c r="M42" s="17">
        <f t="shared" si="1"/>
        <v>71.22800335336585</v>
      </c>
    </row>
    <row r="43" spans="1:13" ht="31.5" x14ac:dyDescent="0.2">
      <c r="A43" s="85"/>
      <c r="B43" s="33" t="s">
        <v>54</v>
      </c>
      <c r="C43" s="42">
        <v>902</v>
      </c>
      <c r="D43" s="13" t="s">
        <v>2</v>
      </c>
      <c r="E43" s="13" t="s">
        <v>6</v>
      </c>
      <c r="F43" s="13">
        <v>52</v>
      </c>
      <c r="G43" s="25">
        <v>1</v>
      </c>
      <c r="H43" s="13" t="s">
        <v>102</v>
      </c>
      <c r="I43" s="13" t="s">
        <v>104</v>
      </c>
      <c r="J43" s="13"/>
      <c r="K43" s="17">
        <f>K44+K45+K47+K48+K46</f>
        <v>99905.3</v>
      </c>
      <c r="L43" s="17">
        <f>L44+L45+L47+L48+L46</f>
        <v>71462.5</v>
      </c>
      <c r="M43" s="17">
        <f t="shared" si="1"/>
        <v>71.530239136462228</v>
      </c>
    </row>
    <row r="44" spans="1:13" ht="47.45" customHeight="1" x14ac:dyDescent="0.2">
      <c r="A44" s="85"/>
      <c r="B44" s="33" t="s">
        <v>55</v>
      </c>
      <c r="C44" s="42">
        <v>902</v>
      </c>
      <c r="D44" s="13" t="s">
        <v>2</v>
      </c>
      <c r="E44" s="13" t="s">
        <v>6</v>
      </c>
      <c r="F44" s="13">
        <v>52</v>
      </c>
      <c r="G44" s="25">
        <v>1</v>
      </c>
      <c r="H44" s="13" t="s">
        <v>102</v>
      </c>
      <c r="I44" s="13" t="s">
        <v>104</v>
      </c>
      <c r="J44" s="13" t="s">
        <v>56</v>
      </c>
      <c r="K44" s="17">
        <f>97531.1+971.5-0.1+65.6-447.7-2.8</f>
        <v>98117.6</v>
      </c>
      <c r="L44" s="17">
        <v>70356.5</v>
      </c>
      <c r="M44" s="17">
        <f t="shared" si="1"/>
        <v>71.706299379520075</v>
      </c>
    </row>
    <row r="45" spans="1:13" ht="31.5" x14ac:dyDescent="0.2">
      <c r="A45" s="85"/>
      <c r="B45" s="33" t="s">
        <v>175</v>
      </c>
      <c r="C45" s="42">
        <v>902</v>
      </c>
      <c r="D45" s="13" t="s">
        <v>2</v>
      </c>
      <c r="E45" s="13" t="s">
        <v>6</v>
      </c>
      <c r="F45" s="13">
        <v>52</v>
      </c>
      <c r="G45" s="25">
        <v>1</v>
      </c>
      <c r="H45" s="13" t="s">
        <v>102</v>
      </c>
      <c r="I45" s="13" t="s">
        <v>104</v>
      </c>
      <c r="J45" s="13" t="s">
        <v>58</v>
      </c>
      <c r="K45" s="17">
        <f>1425.7+52.9+0.1</f>
        <v>1478.7</v>
      </c>
      <c r="L45" s="17">
        <v>811.8</v>
      </c>
      <c r="M45" s="17">
        <f t="shared" si="1"/>
        <v>54.899573950091295</v>
      </c>
    </row>
    <row r="46" spans="1:13" x14ac:dyDescent="0.2">
      <c r="A46" s="85"/>
      <c r="B46" s="33" t="s">
        <v>69</v>
      </c>
      <c r="C46" s="42">
        <v>902</v>
      </c>
      <c r="D46" s="13" t="s">
        <v>2</v>
      </c>
      <c r="E46" s="13" t="s">
        <v>6</v>
      </c>
      <c r="F46" s="13">
        <v>52</v>
      </c>
      <c r="G46" s="25">
        <v>1</v>
      </c>
      <c r="H46" s="13" t="s">
        <v>102</v>
      </c>
      <c r="I46" s="13" t="s">
        <v>104</v>
      </c>
      <c r="J46" s="13" t="s">
        <v>70</v>
      </c>
      <c r="K46" s="17">
        <v>2.8</v>
      </c>
      <c r="L46" s="17">
        <v>2.8</v>
      </c>
      <c r="M46" s="17">
        <f t="shared" si="1"/>
        <v>100</v>
      </c>
    </row>
    <row r="47" spans="1:13" x14ac:dyDescent="0.2">
      <c r="A47" s="85"/>
      <c r="B47" s="33" t="s">
        <v>22</v>
      </c>
      <c r="C47" s="42">
        <v>902</v>
      </c>
      <c r="D47" s="13" t="s">
        <v>2</v>
      </c>
      <c r="E47" s="13" t="s">
        <v>6</v>
      </c>
      <c r="F47" s="13">
        <v>52</v>
      </c>
      <c r="G47" s="25">
        <v>1</v>
      </c>
      <c r="H47" s="13" t="s">
        <v>102</v>
      </c>
      <c r="I47" s="13" t="s">
        <v>104</v>
      </c>
      <c r="J47" s="13" t="s">
        <v>73</v>
      </c>
      <c r="K47" s="17">
        <v>0</v>
      </c>
      <c r="L47" s="17">
        <v>0</v>
      </c>
      <c r="M47" s="17"/>
    </row>
    <row r="48" spans="1:13" x14ac:dyDescent="0.2">
      <c r="A48" s="85"/>
      <c r="B48" s="33" t="s">
        <v>60</v>
      </c>
      <c r="C48" s="42">
        <v>902</v>
      </c>
      <c r="D48" s="13" t="s">
        <v>2</v>
      </c>
      <c r="E48" s="13" t="s">
        <v>6</v>
      </c>
      <c r="F48" s="13">
        <v>52</v>
      </c>
      <c r="G48" s="25">
        <v>1</v>
      </c>
      <c r="H48" s="13" t="s">
        <v>102</v>
      </c>
      <c r="I48" s="13" t="s">
        <v>104</v>
      </c>
      <c r="J48" s="13" t="s">
        <v>61</v>
      </c>
      <c r="K48" s="17">
        <v>306.2</v>
      </c>
      <c r="L48" s="17">
        <v>291.39999999999998</v>
      </c>
      <c r="M48" s="17">
        <f t="shared" si="1"/>
        <v>95.166557805355978</v>
      </c>
    </row>
    <row r="49" spans="1:13" ht="81.599999999999994" customHeight="1" x14ac:dyDescent="0.2">
      <c r="A49" s="85"/>
      <c r="B49" s="33" t="s">
        <v>343</v>
      </c>
      <c r="C49" s="42">
        <v>902</v>
      </c>
      <c r="D49" s="13" t="s">
        <v>2</v>
      </c>
      <c r="E49" s="13" t="s">
        <v>6</v>
      </c>
      <c r="F49" s="13">
        <v>52</v>
      </c>
      <c r="G49" s="25">
        <v>1</v>
      </c>
      <c r="H49" s="13" t="s">
        <v>102</v>
      </c>
      <c r="I49" s="13" t="s">
        <v>344</v>
      </c>
      <c r="J49" s="13"/>
      <c r="K49" s="17">
        <f>SUM(K50:K51)</f>
        <v>1428.5</v>
      </c>
      <c r="L49" s="17">
        <f>SUM(L50:L51)</f>
        <v>769.3</v>
      </c>
      <c r="M49" s="17">
        <f t="shared" si="1"/>
        <v>53.853692684634225</v>
      </c>
    </row>
    <row r="50" spans="1:13" ht="45.6" customHeight="1" x14ac:dyDescent="0.2">
      <c r="A50" s="85"/>
      <c r="B50" s="33" t="s">
        <v>55</v>
      </c>
      <c r="C50" s="42">
        <v>902</v>
      </c>
      <c r="D50" s="13" t="s">
        <v>2</v>
      </c>
      <c r="E50" s="13" t="s">
        <v>6</v>
      </c>
      <c r="F50" s="13">
        <v>52</v>
      </c>
      <c r="G50" s="25">
        <v>1</v>
      </c>
      <c r="H50" s="13" t="s">
        <v>102</v>
      </c>
      <c r="I50" s="13" t="s">
        <v>344</v>
      </c>
      <c r="J50" s="13" t="s">
        <v>56</v>
      </c>
      <c r="K50" s="17">
        <f>1107.2+11.1</f>
        <v>1118.3</v>
      </c>
      <c r="L50" s="17">
        <v>763.9</v>
      </c>
      <c r="M50" s="17">
        <f t="shared" si="1"/>
        <v>68.309040507913792</v>
      </c>
    </row>
    <row r="51" spans="1:13" ht="31.5" x14ac:dyDescent="0.2">
      <c r="A51" s="85"/>
      <c r="B51" s="33" t="s">
        <v>175</v>
      </c>
      <c r="C51" s="42">
        <v>902</v>
      </c>
      <c r="D51" s="13" t="s">
        <v>2</v>
      </c>
      <c r="E51" s="13" t="s">
        <v>6</v>
      </c>
      <c r="F51" s="13">
        <v>52</v>
      </c>
      <c r="G51" s="25">
        <v>1</v>
      </c>
      <c r="H51" s="13" t="s">
        <v>102</v>
      </c>
      <c r="I51" s="13" t="s">
        <v>344</v>
      </c>
      <c r="J51" s="13" t="s">
        <v>58</v>
      </c>
      <c r="K51" s="17">
        <v>310.2</v>
      </c>
      <c r="L51" s="17">
        <v>5.4</v>
      </c>
      <c r="M51" s="17">
        <f t="shared" si="1"/>
        <v>1.7408123791102519</v>
      </c>
    </row>
    <row r="52" spans="1:13" ht="65.45" customHeight="1" x14ac:dyDescent="0.2">
      <c r="A52" s="85"/>
      <c r="B52" s="33" t="s">
        <v>239</v>
      </c>
      <c r="C52" s="42">
        <v>902</v>
      </c>
      <c r="D52" s="13" t="s">
        <v>2</v>
      </c>
      <c r="E52" s="13" t="s">
        <v>6</v>
      </c>
      <c r="F52" s="13">
        <v>52</v>
      </c>
      <c r="G52" s="25">
        <v>1</v>
      </c>
      <c r="H52" s="13" t="s">
        <v>102</v>
      </c>
      <c r="I52" s="13" t="s">
        <v>240</v>
      </c>
      <c r="J52" s="13"/>
      <c r="K52" s="17">
        <f>SUM(K53:K54)</f>
        <v>534</v>
      </c>
      <c r="L52" s="17">
        <f>SUM(L53:L54)</f>
        <v>326.60000000000002</v>
      </c>
      <c r="M52" s="17">
        <f t="shared" si="1"/>
        <v>61.161048689138589</v>
      </c>
    </row>
    <row r="53" spans="1:13" ht="51" customHeight="1" x14ac:dyDescent="0.2">
      <c r="A53" s="85"/>
      <c r="B53" s="33" t="s">
        <v>55</v>
      </c>
      <c r="C53" s="42">
        <v>902</v>
      </c>
      <c r="D53" s="13" t="s">
        <v>2</v>
      </c>
      <c r="E53" s="13" t="s">
        <v>6</v>
      </c>
      <c r="F53" s="13">
        <v>52</v>
      </c>
      <c r="G53" s="25">
        <v>1</v>
      </c>
      <c r="H53" s="13" t="s">
        <v>102</v>
      </c>
      <c r="I53" s="13" t="s">
        <v>240</v>
      </c>
      <c r="J53" s="13" t="s">
        <v>56</v>
      </c>
      <c r="K53" s="17">
        <f>456.1+4.6</f>
        <v>460.70000000000005</v>
      </c>
      <c r="L53" s="17">
        <v>286.8</v>
      </c>
      <c r="M53" s="17">
        <f t="shared" si="1"/>
        <v>62.253093119166479</v>
      </c>
    </row>
    <row r="54" spans="1:13" ht="31.5" x14ac:dyDescent="0.2">
      <c r="A54" s="85"/>
      <c r="B54" s="33" t="s">
        <v>175</v>
      </c>
      <c r="C54" s="42">
        <v>902</v>
      </c>
      <c r="D54" s="13" t="s">
        <v>2</v>
      </c>
      <c r="E54" s="13" t="s">
        <v>6</v>
      </c>
      <c r="F54" s="13">
        <v>52</v>
      </c>
      <c r="G54" s="25">
        <v>1</v>
      </c>
      <c r="H54" s="13" t="s">
        <v>102</v>
      </c>
      <c r="I54" s="13" t="s">
        <v>240</v>
      </c>
      <c r="J54" s="13" t="s">
        <v>58</v>
      </c>
      <c r="K54" s="17">
        <v>73.3</v>
      </c>
      <c r="L54" s="17">
        <v>39.799999999999997</v>
      </c>
      <c r="M54" s="17">
        <f t="shared" si="1"/>
        <v>54.297407912687575</v>
      </c>
    </row>
    <row r="55" spans="1:13" ht="34.15" customHeight="1" x14ac:dyDescent="0.2">
      <c r="A55" s="85"/>
      <c r="B55" s="33" t="s">
        <v>62</v>
      </c>
      <c r="C55" s="42">
        <v>902</v>
      </c>
      <c r="D55" s="13" t="s">
        <v>2</v>
      </c>
      <c r="E55" s="13" t="s">
        <v>6</v>
      </c>
      <c r="F55" s="13" t="s">
        <v>109</v>
      </c>
      <c r="G55" s="25">
        <v>2</v>
      </c>
      <c r="H55" s="13"/>
      <c r="I55" s="13"/>
      <c r="J55" s="13"/>
      <c r="K55" s="17">
        <f>SUM(K56+K59)</f>
        <v>1459.9</v>
      </c>
      <c r="L55" s="17">
        <f>SUM(L56+L59)</f>
        <v>742</v>
      </c>
      <c r="M55" s="17">
        <f t="shared" si="1"/>
        <v>50.825398999931501</v>
      </c>
    </row>
    <row r="56" spans="1:13" s="12" customFormat="1" ht="48" customHeight="1" x14ac:dyDescent="0.2">
      <c r="A56" s="85"/>
      <c r="B56" s="52" t="s">
        <v>388</v>
      </c>
      <c r="C56" s="42">
        <v>902</v>
      </c>
      <c r="D56" s="13" t="s">
        <v>2</v>
      </c>
      <c r="E56" s="13" t="s">
        <v>6</v>
      </c>
      <c r="F56" s="13" t="s">
        <v>109</v>
      </c>
      <c r="G56" s="25">
        <v>2</v>
      </c>
      <c r="H56" s="13" t="s">
        <v>102</v>
      </c>
      <c r="I56" s="13" t="s">
        <v>110</v>
      </c>
      <c r="J56" s="13"/>
      <c r="K56" s="17">
        <f>SUM(K57:K58)</f>
        <v>730</v>
      </c>
      <c r="L56" s="17">
        <f>SUM(L57:L58)</f>
        <v>517.1</v>
      </c>
      <c r="M56" s="17">
        <f t="shared" si="1"/>
        <v>70.835616438356169</v>
      </c>
    </row>
    <row r="57" spans="1:13" s="12" customFormat="1" ht="78.599999999999994" customHeight="1" x14ac:dyDescent="0.2">
      <c r="A57" s="85"/>
      <c r="B57" s="33" t="s">
        <v>174</v>
      </c>
      <c r="C57" s="42">
        <v>902</v>
      </c>
      <c r="D57" s="13" t="s">
        <v>2</v>
      </c>
      <c r="E57" s="13" t="s">
        <v>6</v>
      </c>
      <c r="F57" s="13" t="s">
        <v>109</v>
      </c>
      <c r="G57" s="25">
        <v>2</v>
      </c>
      <c r="H57" s="13" t="s">
        <v>102</v>
      </c>
      <c r="I57" s="13" t="s">
        <v>110</v>
      </c>
      <c r="J57" s="13" t="s">
        <v>56</v>
      </c>
      <c r="K57" s="17">
        <v>650.6</v>
      </c>
      <c r="L57" s="17">
        <v>511.7</v>
      </c>
      <c r="M57" s="17">
        <f t="shared" si="1"/>
        <v>78.650476483246237</v>
      </c>
    </row>
    <row r="58" spans="1:13" s="12" customFormat="1" ht="31.5" x14ac:dyDescent="0.2">
      <c r="A58" s="85"/>
      <c r="B58" s="33" t="s">
        <v>175</v>
      </c>
      <c r="C58" s="42">
        <v>902</v>
      </c>
      <c r="D58" s="13" t="s">
        <v>2</v>
      </c>
      <c r="E58" s="13" t="s">
        <v>6</v>
      </c>
      <c r="F58" s="13" t="s">
        <v>109</v>
      </c>
      <c r="G58" s="25">
        <v>2</v>
      </c>
      <c r="H58" s="13" t="s">
        <v>102</v>
      </c>
      <c r="I58" s="13" t="s">
        <v>110</v>
      </c>
      <c r="J58" s="13" t="s">
        <v>58</v>
      </c>
      <c r="K58" s="17">
        <v>79.400000000000006</v>
      </c>
      <c r="L58" s="17">
        <v>5.4</v>
      </c>
      <c r="M58" s="17">
        <f t="shared" si="1"/>
        <v>6.8010075566750636</v>
      </c>
    </row>
    <row r="59" spans="1:13" s="12" customFormat="1" ht="79.900000000000006" customHeight="1" x14ac:dyDescent="0.2">
      <c r="A59" s="85"/>
      <c r="B59" s="53" t="s">
        <v>498</v>
      </c>
      <c r="C59" s="42">
        <v>902</v>
      </c>
      <c r="D59" s="13" t="s">
        <v>2</v>
      </c>
      <c r="E59" s="13" t="s">
        <v>6</v>
      </c>
      <c r="F59" s="13" t="s">
        <v>109</v>
      </c>
      <c r="G59" s="25">
        <v>2</v>
      </c>
      <c r="H59" s="13" t="s">
        <v>102</v>
      </c>
      <c r="I59" s="13" t="s">
        <v>497</v>
      </c>
      <c r="J59" s="13"/>
      <c r="K59" s="17">
        <f>SUM(K60:K61)</f>
        <v>729.9</v>
      </c>
      <c r="L59" s="17">
        <f>SUM(L60:L61)</f>
        <v>224.9</v>
      </c>
      <c r="M59" s="17">
        <f t="shared" si="1"/>
        <v>30.812440060282231</v>
      </c>
    </row>
    <row r="60" spans="1:13" s="12" customFormat="1" ht="81" customHeight="1" x14ac:dyDescent="0.2">
      <c r="A60" s="85"/>
      <c r="B60" s="33" t="s">
        <v>174</v>
      </c>
      <c r="C60" s="42">
        <v>902</v>
      </c>
      <c r="D60" s="13" t="s">
        <v>2</v>
      </c>
      <c r="E60" s="13" t="s">
        <v>6</v>
      </c>
      <c r="F60" s="13" t="s">
        <v>109</v>
      </c>
      <c r="G60" s="25">
        <v>2</v>
      </c>
      <c r="H60" s="13" t="s">
        <v>102</v>
      </c>
      <c r="I60" s="13" t="s">
        <v>497</v>
      </c>
      <c r="J60" s="13" t="s">
        <v>56</v>
      </c>
      <c r="K60" s="17">
        <v>650.6</v>
      </c>
      <c r="L60" s="17">
        <v>218.1</v>
      </c>
      <c r="M60" s="17">
        <f t="shared" si="1"/>
        <v>33.52290193667384</v>
      </c>
    </row>
    <row r="61" spans="1:13" s="12" customFormat="1" ht="31.5" x14ac:dyDescent="0.2">
      <c r="A61" s="85"/>
      <c r="B61" s="33" t="s">
        <v>175</v>
      </c>
      <c r="C61" s="42">
        <v>902</v>
      </c>
      <c r="D61" s="13" t="s">
        <v>2</v>
      </c>
      <c r="E61" s="13" t="s">
        <v>6</v>
      </c>
      <c r="F61" s="13" t="s">
        <v>109</v>
      </c>
      <c r="G61" s="25">
        <v>2</v>
      </c>
      <c r="H61" s="13" t="s">
        <v>102</v>
      </c>
      <c r="I61" s="13" t="s">
        <v>497</v>
      </c>
      <c r="J61" s="13" t="s">
        <v>58</v>
      </c>
      <c r="K61" s="17">
        <v>79.3</v>
      </c>
      <c r="L61" s="17">
        <v>6.8</v>
      </c>
      <c r="M61" s="17">
        <f t="shared" si="1"/>
        <v>8.5750315258511982</v>
      </c>
    </row>
    <row r="62" spans="1:13" s="12" customFormat="1" x14ac:dyDescent="0.2">
      <c r="A62" s="85"/>
      <c r="B62" s="33" t="s">
        <v>319</v>
      </c>
      <c r="C62" s="42">
        <v>902</v>
      </c>
      <c r="D62" s="13" t="s">
        <v>2</v>
      </c>
      <c r="E62" s="13" t="s">
        <v>7</v>
      </c>
      <c r="F62" s="13"/>
      <c r="G62" s="25"/>
      <c r="H62" s="13"/>
      <c r="I62" s="13"/>
      <c r="J62" s="13"/>
      <c r="K62" s="17">
        <f t="shared" ref="K62:L65" si="4">SUM(K63)</f>
        <v>34.800000000000004</v>
      </c>
      <c r="L62" s="17">
        <f t="shared" si="4"/>
        <v>9.4</v>
      </c>
      <c r="M62" s="17">
        <f t="shared" si="1"/>
        <v>27.011494252873565</v>
      </c>
    </row>
    <row r="63" spans="1:13" s="12" customFormat="1" ht="31.5" x14ac:dyDescent="0.2">
      <c r="A63" s="85"/>
      <c r="B63" s="33" t="s">
        <v>89</v>
      </c>
      <c r="C63" s="42">
        <v>902</v>
      </c>
      <c r="D63" s="13" t="s">
        <v>2</v>
      </c>
      <c r="E63" s="13" t="s">
        <v>7</v>
      </c>
      <c r="F63" s="13">
        <v>52</v>
      </c>
      <c r="G63" s="25"/>
      <c r="H63" s="13"/>
      <c r="I63" s="13"/>
      <c r="J63" s="13"/>
      <c r="K63" s="17">
        <f t="shared" si="4"/>
        <v>34.800000000000004</v>
      </c>
      <c r="L63" s="17">
        <f t="shared" si="4"/>
        <v>9.4</v>
      </c>
      <c r="M63" s="17">
        <f t="shared" si="1"/>
        <v>27.011494252873565</v>
      </c>
    </row>
    <row r="64" spans="1:13" s="12" customFormat="1" ht="31.9" customHeight="1" x14ac:dyDescent="0.2">
      <c r="A64" s="85"/>
      <c r="B64" s="54" t="s">
        <v>62</v>
      </c>
      <c r="C64" s="42">
        <v>902</v>
      </c>
      <c r="D64" s="13" t="s">
        <v>2</v>
      </c>
      <c r="E64" s="13" t="s">
        <v>7</v>
      </c>
      <c r="F64" s="13" t="s">
        <v>109</v>
      </c>
      <c r="G64" s="13" t="s">
        <v>166</v>
      </c>
      <c r="H64" s="13"/>
      <c r="I64" s="13"/>
      <c r="J64" s="13"/>
      <c r="K64" s="17">
        <f t="shared" si="4"/>
        <v>34.800000000000004</v>
      </c>
      <c r="L64" s="17">
        <f t="shared" si="4"/>
        <v>9.4</v>
      </c>
      <c r="M64" s="17">
        <f t="shared" si="1"/>
        <v>27.011494252873565</v>
      </c>
    </row>
    <row r="65" spans="1:13" s="12" customFormat="1" ht="51.6" customHeight="1" x14ac:dyDescent="0.2">
      <c r="A65" s="85"/>
      <c r="B65" s="53" t="s">
        <v>318</v>
      </c>
      <c r="C65" s="42">
        <v>902</v>
      </c>
      <c r="D65" s="13" t="s">
        <v>2</v>
      </c>
      <c r="E65" s="13" t="s">
        <v>7</v>
      </c>
      <c r="F65" s="13" t="s">
        <v>109</v>
      </c>
      <c r="G65" s="13" t="s">
        <v>166</v>
      </c>
      <c r="H65" s="13" t="s">
        <v>102</v>
      </c>
      <c r="I65" s="13" t="s">
        <v>317</v>
      </c>
      <c r="J65" s="13"/>
      <c r="K65" s="17">
        <f t="shared" si="4"/>
        <v>34.800000000000004</v>
      </c>
      <c r="L65" s="17">
        <f t="shared" si="4"/>
        <v>9.4</v>
      </c>
      <c r="M65" s="17">
        <f t="shared" si="1"/>
        <v>27.011494252873565</v>
      </c>
    </row>
    <row r="66" spans="1:13" s="12" customFormat="1" ht="31.5" x14ac:dyDescent="0.2">
      <c r="A66" s="85"/>
      <c r="B66" s="33" t="s">
        <v>175</v>
      </c>
      <c r="C66" s="42">
        <v>902</v>
      </c>
      <c r="D66" s="13" t="s">
        <v>2</v>
      </c>
      <c r="E66" s="13" t="s">
        <v>7</v>
      </c>
      <c r="F66" s="13" t="s">
        <v>109</v>
      </c>
      <c r="G66" s="13" t="s">
        <v>166</v>
      </c>
      <c r="H66" s="13" t="s">
        <v>102</v>
      </c>
      <c r="I66" s="13" t="s">
        <v>317</v>
      </c>
      <c r="J66" s="13" t="s">
        <v>58</v>
      </c>
      <c r="K66" s="17">
        <f>68.2-33.4</f>
        <v>34.800000000000004</v>
      </c>
      <c r="L66" s="17">
        <v>9.4</v>
      </c>
      <c r="M66" s="17">
        <f t="shared" si="1"/>
        <v>27.011494252873565</v>
      </c>
    </row>
    <row r="67" spans="1:13" s="12" customFormat="1" x14ac:dyDescent="0.2">
      <c r="A67" s="85"/>
      <c r="B67" s="33" t="s">
        <v>559</v>
      </c>
      <c r="C67" s="42">
        <v>902</v>
      </c>
      <c r="D67" s="13" t="s">
        <v>2</v>
      </c>
      <c r="E67" s="13" t="s">
        <v>8</v>
      </c>
      <c r="F67" s="13"/>
      <c r="G67" s="13"/>
      <c r="H67" s="13"/>
      <c r="I67" s="13"/>
      <c r="J67" s="13"/>
      <c r="K67" s="17">
        <f t="shared" ref="K67:L70" si="5">K68</f>
        <v>14237.5</v>
      </c>
      <c r="L67" s="17">
        <f t="shared" si="5"/>
        <v>14237.5</v>
      </c>
      <c r="M67" s="17">
        <f t="shared" si="1"/>
        <v>100</v>
      </c>
    </row>
    <row r="68" spans="1:13" s="12" customFormat="1" ht="33" customHeight="1" x14ac:dyDescent="0.2">
      <c r="A68" s="85"/>
      <c r="B68" s="33" t="s">
        <v>81</v>
      </c>
      <c r="C68" s="42">
        <v>902</v>
      </c>
      <c r="D68" s="13" t="s">
        <v>2</v>
      </c>
      <c r="E68" s="13" t="s">
        <v>8</v>
      </c>
      <c r="F68" s="13" t="s">
        <v>560</v>
      </c>
      <c r="G68" s="13"/>
      <c r="H68" s="13"/>
      <c r="I68" s="13"/>
      <c r="J68" s="13"/>
      <c r="K68" s="17">
        <f t="shared" si="5"/>
        <v>14237.5</v>
      </c>
      <c r="L68" s="17">
        <f t="shared" si="5"/>
        <v>14237.5</v>
      </c>
      <c r="M68" s="17">
        <f t="shared" si="1"/>
        <v>100</v>
      </c>
    </row>
    <row r="69" spans="1:13" s="12" customFormat="1" ht="36.6" customHeight="1" x14ac:dyDescent="0.2">
      <c r="A69" s="85"/>
      <c r="B69" s="33" t="s">
        <v>561</v>
      </c>
      <c r="C69" s="42">
        <v>902</v>
      </c>
      <c r="D69" s="13" t="s">
        <v>2</v>
      </c>
      <c r="E69" s="13" t="s">
        <v>8</v>
      </c>
      <c r="F69" s="13" t="s">
        <v>560</v>
      </c>
      <c r="G69" s="13" t="s">
        <v>166</v>
      </c>
      <c r="H69" s="13"/>
      <c r="I69" s="13"/>
      <c r="J69" s="13"/>
      <c r="K69" s="17">
        <f t="shared" si="5"/>
        <v>14237.5</v>
      </c>
      <c r="L69" s="17">
        <f t="shared" si="5"/>
        <v>14237.5</v>
      </c>
      <c r="M69" s="17">
        <f t="shared" si="1"/>
        <v>100</v>
      </c>
    </row>
    <row r="70" spans="1:13" s="12" customFormat="1" ht="48" customHeight="1" x14ac:dyDescent="0.2">
      <c r="A70" s="85"/>
      <c r="B70" s="33" t="s">
        <v>562</v>
      </c>
      <c r="C70" s="42">
        <v>902</v>
      </c>
      <c r="D70" s="13" t="s">
        <v>2</v>
      </c>
      <c r="E70" s="13" t="s">
        <v>8</v>
      </c>
      <c r="F70" s="13" t="s">
        <v>560</v>
      </c>
      <c r="G70" s="13" t="s">
        <v>166</v>
      </c>
      <c r="H70" s="13" t="s">
        <v>102</v>
      </c>
      <c r="I70" s="13" t="s">
        <v>563</v>
      </c>
      <c r="J70" s="13"/>
      <c r="K70" s="17">
        <f t="shared" si="5"/>
        <v>14237.5</v>
      </c>
      <c r="L70" s="17">
        <f t="shared" si="5"/>
        <v>14237.5</v>
      </c>
      <c r="M70" s="17">
        <f t="shared" si="1"/>
        <v>100</v>
      </c>
    </row>
    <row r="71" spans="1:13" s="12" customFormat="1" x14ac:dyDescent="0.2">
      <c r="A71" s="85"/>
      <c r="B71" s="33" t="s">
        <v>60</v>
      </c>
      <c r="C71" s="42">
        <v>902</v>
      </c>
      <c r="D71" s="13" t="s">
        <v>2</v>
      </c>
      <c r="E71" s="13" t="s">
        <v>8</v>
      </c>
      <c r="F71" s="13" t="s">
        <v>560</v>
      </c>
      <c r="G71" s="13" t="s">
        <v>166</v>
      </c>
      <c r="H71" s="13" t="s">
        <v>102</v>
      </c>
      <c r="I71" s="13" t="s">
        <v>563</v>
      </c>
      <c r="J71" s="13" t="s">
        <v>61</v>
      </c>
      <c r="K71" s="17">
        <v>14237.5</v>
      </c>
      <c r="L71" s="17">
        <v>14237.5</v>
      </c>
      <c r="M71" s="17">
        <f t="shared" si="1"/>
        <v>100</v>
      </c>
    </row>
    <row r="72" spans="1:13" s="12" customFormat="1" x14ac:dyDescent="0.2">
      <c r="A72" s="85"/>
      <c r="B72" s="33" t="s">
        <v>9</v>
      </c>
      <c r="C72" s="42">
        <v>902</v>
      </c>
      <c r="D72" s="13" t="s">
        <v>2</v>
      </c>
      <c r="E72" s="13" t="s">
        <v>41</v>
      </c>
      <c r="F72" s="13"/>
      <c r="G72" s="25"/>
      <c r="H72" s="13"/>
      <c r="I72" s="13"/>
      <c r="J72" s="13"/>
      <c r="K72" s="17">
        <f>SUM(K73+K78+K106+K111+K92+K101+K119)</f>
        <v>1184353</v>
      </c>
      <c r="L72" s="17">
        <f>SUM(L73+L78+L106+L111+L92+L101+L119)</f>
        <v>1125291.0999999999</v>
      </c>
      <c r="M72" s="17">
        <f t="shared" si="1"/>
        <v>95.013150640054093</v>
      </c>
    </row>
    <row r="73" spans="1:13" s="12" customFormat="1" ht="31.5" x14ac:dyDescent="0.2">
      <c r="A73" s="85"/>
      <c r="B73" s="50" t="s">
        <v>352</v>
      </c>
      <c r="C73" s="42">
        <v>902</v>
      </c>
      <c r="D73" s="13" t="s">
        <v>2</v>
      </c>
      <c r="E73" s="13" t="s">
        <v>41</v>
      </c>
      <c r="F73" s="13" t="s">
        <v>4</v>
      </c>
      <c r="G73" s="13"/>
      <c r="H73" s="13"/>
      <c r="I73" s="13"/>
      <c r="J73" s="13"/>
      <c r="K73" s="17">
        <f t="shared" ref="K73:L76" si="6">K74</f>
        <v>0</v>
      </c>
      <c r="L73" s="17">
        <f t="shared" si="6"/>
        <v>0</v>
      </c>
      <c r="M73" s="17"/>
    </row>
    <row r="74" spans="1:13" s="12" customFormat="1" ht="31.5" x14ac:dyDescent="0.2">
      <c r="A74" s="85"/>
      <c r="B74" s="50" t="s">
        <v>146</v>
      </c>
      <c r="C74" s="42">
        <v>902</v>
      </c>
      <c r="D74" s="13" t="s">
        <v>2</v>
      </c>
      <c r="E74" s="13" t="s">
        <v>41</v>
      </c>
      <c r="F74" s="13" t="s">
        <v>4</v>
      </c>
      <c r="G74" s="13" t="s">
        <v>126</v>
      </c>
      <c r="H74" s="13"/>
      <c r="I74" s="13"/>
      <c r="J74" s="13"/>
      <c r="K74" s="17">
        <f t="shared" si="6"/>
        <v>0</v>
      </c>
      <c r="L74" s="17">
        <f t="shared" si="6"/>
        <v>0</v>
      </c>
      <c r="M74" s="17"/>
    </row>
    <row r="75" spans="1:13" s="12" customFormat="1" ht="69" customHeight="1" x14ac:dyDescent="0.2">
      <c r="A75" s="85"/>
      <c r="B75" s="50" t="s">
        <v>147</v>
      </c>
      <c r="C75" s="42">
        <v>902</v>
      </c>
      <c r="D75" s="13" t="s">
        <v>2</v>
      </c>
      <c r="E75" s="13" t="s">
        <v>41</v>
      </c>
      <c r="F75" s="13" t="s">
        <v>4</v>
      </c>
      <c r="G75" s="13" t="s">
        <v>126</v>
      </c>
      <c r="H75" s="13" t="s">
        <v>2</v>
      </c>
      <c r="I75" s="13"/>
      <c r="J75" s="13"/>
      <c r="K75" s="17">
        <f t="shared" si="6"/>
        <v>0</v>
      </c>
      <c r="L75" s="17">
        <f t="shared" si="6"/>
        <v>0</v>
      </c>
      <c r="M75" s="17"/>
    </row>
    <row r="76" spans="1:13" s="12" customFormat="1" ht="47.25" x14ac:dyDescent="0.2">
      <c r="A76" s="85"/>
      <c r="B76" s="50" t="s">
        <v>423</v>
      </c>
      <c r="C76" s="42">
        <v>902</v>
      </c>
      <c r="D76" s="13" t="s">
        <v>2</v>
      </c>
      <c r="E76" s="13" t="s">
        <v>41</v>
      </c>
      <c r="F76" s="13" t="s">
        <v>4</v>
      </c>
      <c r="G76" s="13" t="s">
        <v>126</v>
      </c>
      <c r="H76" s="13" t="s">
        <v>2</v>
      </c>
      <c r="I76" s="13" t="s">
        <v>351</v>
      </c>
      <c r="J76" s="13"/>
      <c r="K76" s="17">
        <f t="shared" si="6"/>
        <v>0</v>
      </c>
      <c r="L76" s="17">
        <f t="shared" si="6"/>
        <v>0</v>
      </c>
      <c r="M76" s="17"/>
    </row>
    <row r="77" spans="1:13" s="12" customFormat="1" ht="31.5" x14ac:dyDescent="0.2">
      <c r="A77" s="85"/>
      <c r="B77" s="33" t="s">
        <v>175</v>
      </c>
      <c r="C77" s="42">
        <v>902</v>
      </c>
      <c r="D77" s="13" t="s">
        <v>2</v>
      </c>
      <c r="E77" s="13" t="s">
        <v>41</v>
      </c>
      <c r="F77" s="13" t="s">
        <v>4</v>
      </c>
      <c r="G77" s="13" t="s">
        <v>126</v>
      </c>
      <c r="H77" s="13" t="s">
        <v>2</v>
      </c>
      <c r="I77" s="13" t="s">
        <v>351</v>
      </c>
      <c r="J77" s="13" t="s">
        <v>58</v>
      </c>
      <c r="K77" s="17">
        <v>0</v>
      </c>
      <c r="L77" s="17">
        <v>0</v>
      </c>
      <c r="M77" s="17"/>
    </row>
    <row r="78" spans="1:13" s="12" customFormat="1" ht="49.9" customHeight="1" x14ac:dyDescent="0.2">
      <c r="A78" s="85"/>
      <c r="B78" s="33" t="s">
        <v>253</v>
      </c>
      <c r="C78" s="42">
        <v>902</v>
      </c>
      <c r="D78" s="13" t="s">
        <v>2</v>
      </c>
      <c r="E78" s="13" t="s">
        <v>41</v>
      </c>
      <c r="F78" s="13" t="s">
        <v>8</v>
      </c>
      <c r="G78" s="25"/>
      <c r="H78" s="13"/>
      <c r="I78" s="13"/>
      <c r="J78" s="13"/>
      <c r="K78" s="17">
        <f t="shared" ref="K78:L78" si="7">SUM(K79)</f>
        <v>99648.8</v>
      </c>
      <c r="L78" s="17">
        <f t="shared" si="7"/>
        <v>63639.8</v>
      </c>
      <c r="M78" s="17">
        <f t="shared" si="1"/>
        <v>63.864090686490961</v>
      </c>
    </row>
    <row r="79" spans="1:13" s="12" customFormat="1" ht="47.45" customHeight="1" x14ac:dyDescent="0.2">
      <c r="A79" s="85"/>
      <c r="B79" s="33" t="s">
        <v>254</v>
      </c>
      <c r="C79" s="42">
        <v>902</v>
      </c>
      <c r="D79" s="13" t="s">
        <v>2</v>
      </c>
      <c r="E79" s="13" t="s">
        <v>41</v>
      </c>
      <c r="F79" s="13" t="s">
        <v>8</v>
      </c>
      <c r="G79" s="25">
        <v>1</v>
      </c>
      <c r="H79" s="13"/>
      <c r="I79" s="13"/>
      <c r="J79" s="13"/>
      <c r="K79" s="17">
        <f>K80+K87</f>
        <v>99648.8</v>
      </c>
      <c r="L79" s="17">
        <f>L80+L87</f>
        <v>63639.8</v>
      </c>
      <c r="M79" s="17">
        <f t="shared" si="1"/>
        <v>63.864090686490961</v>
      </c>
    </row>
    <row r="80" spans="1:13" s="12" customFormat="1" x14ac:dyDescent="0.2">
      <c r="A80" s="85"/>
      <c r="B80" s="33" t="s">
        <v>115</v>
      </c>
      <c r="C80" s="42">
        <v>902</v>
      </c>
      <c r="D80" s="13" t="s">
        <v>2</v>
      </c>
      <c r="E80" s="13" t="s">
        <v>41</v>
      </c>
      <c r="F80" s="13" t="s">
        <v>8</v>
      </c>
      <c r="G80" s="25">
        <v>1</v>
      </c>
      <c r="H80" s="13" t="s">
        <v>2</v>
      </c>
      <c r="I80" s="13"/>
      <c r="J80" s="13"/>
      <c r="K80" s="17">
        <f>SUM(K81)</f>
        <v>96725.3</v>
      </c>
      <c r="L80" s="17">
        <f>SUM(L81)</f>
        <v>62877.3</v>
      </c>
      <c r="M80" s="17">
        <f t="shared" si="1"/>
        <v>65.006053224957697</v>
      </c>
    </row>
    <row r="81" spans="1:13" s="12" customFormat="1" ht="67.150000000000006" customHeight="1" x14ac:dyDescent="0.2">
      <c r="A81" s="85"/>
      <c r="B81" s="33" t="s">
        <v>88</v>
      </c>
      <c r="C81" s="42">
        <v>902</v>
      </c>
      <c r="D81" s="13" t="s">
        <v>2</v>
      </c>
      <c r="E81" s="13" t="s">
        <v>41</v>
      </c>
      <c r="F81" s="13" t="s">
        <v>8</v>
      </c>
      <c r="G81" s="25">
        <v>1</v>
      </c>
      <c r="H81" s="13" t="s">
        <v>2</v>
      </c>
      <c r="I81" s="13" t="s">
        <v>116</v>
      </c>
      <c r="J81" s="13"/>
      <c r="K81" s="17">
        <f>SUM(K82:K86)</f>
        <v>96725.3</v>
      </c>
      <c r="L81" s="17">
        <f>SUM(L82:L86)</f>
        <v>62877.3</v>
      </c>
      <c r="M81" s="17">
        <f t="shared" si="1"/>
        <v>65.006053224957697</v>
      </c>
    </row>
    <row r="82" spans="1:13" s="12" customFormat="1" ht="51.6" customHeight="1" x14ac:dyDescent="0.2">
      <c r="A82" s="85"/>
      <c r="B82" s="33" t="s">
        <v>55</v>
      </c>
      <c r="C82" s="42">
        <v>902</v>
      </c>
      <c r="D82" s="13" t="s">
        <v>2</v>
      </c>
      <c r="E82" s="13" t="s">
        <v>41</v>
      </c>
      <c r="F82" s="13" t="s">
        <v>8</v>
      </c>
      <c r="G82" s="25">
        <v>1</v>
      </c>
      <c r="H82" s="13" t="s">
        <v>2</v>
      </c>
      <c r="I82" s="13" t="s">
        <v>116</v>
      </c>
      <c r="J82" s="13" t="s">
        <v>56</v>
      </c>
      <c r="K82" s="17">
        <f>47378.5+473.9-3.8-483.9</f>
        <v>47364.7</v>
      </c>
      <c r="L82" s="17">
        <v>34179.300000000003</v>
      </c>
      <c r="M82" s="17">
        <f t="shared" si="1"/>
        <v>72.161968723543069</v>
      </c>
    </row>
    <row r="83" spans="1:13" s="12" customFormat="1" ht="36" customHeight="1" x14ac:dyDescent="0.2">
      <c r="A83" s="85"/>
      <c r="B83" s="33" t="s">
        <v>175</v>
      </c>
      <c r="C83" s="42">
        <v>902</v>
      </c>
      <c r="D83" s="13" t="s">
        <v>2</v>
      </c>
      <c r="E83" s="13" t="s">
        <v>41</v>
      </c>
      <c r="F83" s="13" t="s">
        <v>8</v>
      </c>
      <c r="G83" s="25">
        <v>1</v>
      </c>
      <c r="H83" s="13" t="s">
        <v>2</v>
      </c>
      <c r="I83" s="13" t="s">
        <v>116</v>
      </c>
      <c r="J83" s="13" t="s">
        <v>58</v>
      </c>
      <c r="K83" s="17">
        <v>39900.300000000003</v>
      </c>
      <c r="L83" s="17">
        <v>22620.400000000001</v>
      </c>
      <c r="M83" s="17">
        <f t="shared" si="1"/>
        <v>56.692305571637306</v>
      </c>
    </row>
    <row r="84" spans="1:13" s="12" customFormat="1" ht="18.600000000000001" customHeight="1" x14ac:dyDescent="0.2">
      <c r="A84" s="85"/>
      <c r="B84" s="33" t="s">
        <v>69</v>
      </c>
      <c r="C84" s="42">
        <v>902</v>
      </c>
      <c r="D84" s="13" t="s">
        <v>2</v>
      </c>
      <c r="E84" s="13" t="s">
        <v>41</v>
      </c>
      <c r="F84" s="13" t="s">
        <v>8</v>
      </c>
      <c r="G84" s="25">
        <v>1</v>
      </c>
      <c r="H84" s="13" t="s">
        <v>2</v>
      </c>
      <c r="I84" s="13" t="s">
        <v>116</v>
      </c>
      <c r="J84" s="13" t="s">
        <v>70</v>
      </c>
      <c r="K84" s="17">
        <v>3.8</v>
      </c>
      <c r="L84" s="17">
        <v>3.8</v>
      </c>
      <c r="M84" s="17">
        <f t="shared" ref="M84:M147" si="8">L84/K84*100</f>
        <v>100</v>
      </c>
    </row>
    <row r="85" spans="1:13" s="12" customFormat="1" ht="30.6" customHeight="1" x14ac:dyDescent="0.2">
      <c r="A85" s="85"/>
      <c r="B85" s="33" t="s">
        <v>76</v>
      </c>
      <c r="C85" s="42">
        <v>902</v>
      </c>
      <c r="D85" s="13" t="s">
        <v>2</v>
      </c>
      <c r="E85" s="13" t="s">
        <v>41</v>
      </c>
      <c r="F85" s="13" t="s">
        <v>8</v>
      </c>
      <c r="G85" s="25">
        <v>1</v>
      </c>
      <c r="H85" s="13" t="s">
        <v>2</v>
      </c>
      <c r="I85" s="13" t="s">
        <v>116</v>
      </c>
      <c r="J85" s="13" t="s">
        <v>77</v>
      </c>
      <c r="K85" s="17">
        <v>8499.1</v>
      </c>
      <c r="L85" s="17">
        <v>5612.7</v>
      </c>
      <c r="M85" s="17">
        <f t="shared" si="8"/>
        <v>66.038757044863573</v>
      </c>
    </row>
    <row r="86" spans="1:13" s="12" customFormat="1" ht="21" customHeight="1" x14ac:dyDescent="0.2">
      <c r="A86" s="85"/>
      <c r="B86" s="33" t="s">
        <v>60</v>
      </c>
      <c r="C86" s="42">
        <v>902</v>
      </c>
      <c r="D86" s="13" t="s">
        <v>2</v>
      </c>
      <c r="E86" s="13" t="s">
        <v>41</v>
      </c>
      <c r="F86" s="13" t="s">
        <v>8</v>
      </c>
      <c r="G86" s="25">
        <v>1</v>
      </c>
      <c r="H86" s="13" t="s">
        <v>2</v>
      </c>
      <c r="I86" s="13" t="s">
        <v>116</v>
      </c>
      <c r="J86" s="13" t="s">
        <v>61</v>
      </c>
      <c r="K86" s="17">
        <f>959.6-2.2</f>
        <v>957.4</v>
      </c>
      <c r="L86" s="17">
        <v>461.1</v>
      </c>
      <c r="M86" s="17">
        <f t="shared" si="8"/>
        <v>48.16168790474201</v>
      </c>
    </row>
    <row r="87" spans="1:13" s="12" customFormat="1" ht="37.5" customHeight="1" x14ac:dyDescent="0.2">
      <c r="A87" s="85"/>
      <c r="B87" s="33" t="s">
        <v>127</v>
      </c>
      <c r="C87" s="42">
        <v>902</v>
      </c>
      <c r="D87" s="13" t="s">
        <v>2</v>
      </c>
      <c r="E87" s="13" t="s">
        <v>41</v>
      </c>
      <c r="F87" s="13" t="s">
        <v>8</v>
      </c>
      <c r="G87" s="25">
        <v>1</v>
      </c>
      <c r="H87" s="13" t="s">
        <v>4</v>
      </c>
      <c r="I87" s="13"/>
      <c r="J87" s="13"/>
      <c r="K87" s="17">
        <f>K88+K90</f>
        <v>2923.5</v>
      </c>
      <c r="L87" s="17">
        <f>L88+L90</f>
        <v>762.5</v>
      </c>
      <c r="M87" s="17">
        <f t="shared" si="8"/>
        <v>26.081751325466051</v>
      </c>
    </row>
    <row r="88" spans="1:13" s="12" customFormat="1" ht="37.15" customHeight="1" x14ac:dyDescent="0.2">
      <c r="A88" s="85"/>
      <c r="B88" s="33" t="s">
        <v>456</v>
      </c>
      <c r="C88" s="42">
        <v>902</v>
      </c>
      <c r="D88" s="13" t="s">
        <v>2</v>
      </c>
      <c r="E88" s="13" t="s">
        <v>41</v>
      </c>
      <c r="F88" s="13" t="s">
        <v>8</v>
      </c>
      <c r="G88" s="25">
        <v>1</v>
      </c>
      <c r="H88" s="13" t="s">
        <v>4</v>
      </c>
      <c r="I88" s="13" t="s">
        <v>455</v>
      </c>
      <c r="J88" s="13"/>
      <c r="K88" s="17">
        <f>K89</f>
        <v>358.1</v>
      </c>
      <c r="L88" s="17">
        <f>L89</f>
        <v>0</v>
      </c>
      <c r="M88" s="17">
        <f t="shared" si="8"/>
        <v>0</v>
      </c>
    </row>
    <row r="89" spans="1:13" s="12" customFormat="1" ht="36" customHeight="1" x14ac:dyDescent="0.2">
      <c r="A89" s="85"/>
      <c r="B89" s="33" t="s">
        <v>175</v>
      </c>
      <c r="C89" s="42">
        <v>902</v>
      </c>
      <c r="D89" s="13" t="s">
        <v>2</v>
      </c>
      <c r="E89" s="13" t="s">
        <v>41</v>
      </c>
      <c r="F89" s="13" t="s">
        <v>8</v>
      </c>
      <c r="G89" s="25">
        <v>1</v>
      </c>
      <c r="H89" s="13" t="s">
        <v>4</v>
      </c>
      <c r="I89" s="13" t="s">
        <v>455</v>
      </c>
      <c r="J89" s="13" t="s">
        <v>58</v>
      </c>
      <c r="K89" s="17">
        <f>409.5-51.4</f>
        <v>358.1</v>
      </c>
      <c r="L89" s="17">
        <v>0</v>
      </c>
      <c r="M89" s="17">
        <f t="shared" si="8"/>
        <v>0</v>
      </c>
    </row>
    <row r="90" spans="1:13" s="12" customFormat="1" ht="36" customHeight="1" x14ac:dyDescent="0.2">
      <c r="A90" s="85"/>
      <c r="B90" s="33" t="s">
        <v>460</v>
      </c>
      <c r="C90" s="42">
        <v>902</v>
      </c>
      <c r="D90" s="13" t="s">
        <v>2</v>
      </c>
      <c r="E90" s="13" t="s">
        <v>41</v>
      </c>
      <c r="F90" s="13" t="s">
        <v>8</v>
      </c>
      <c r="G90" s="25">
        <v>1</v>
      </c>
      <c r="H90" s="13" t="s">
        <v>4</v>
      </c>
      <c r="I90" s="13" t="s">
        <v>461</v>
      </c>
      <c r="J90" s="13"/>
      <c r="K90" s="17">
        <f>SUM(K91)</f>
        <v>2565.4</v>
      </c>
      <c r="L90" s="17">
        <f>SUM(L91)</f>
        <v>762.5</v>
      </c>
      <c r="M90" s="17">
        <f t="shared" si="8"/>
        <v>29.722460435019876</v>
      </c>
    </row>
    <row r="91" spans="1:13" s="12" customFormat="1" ht="36" customHeight="1" x14ac:dyDescent="0.2">
      <c r="A91" s="85"/>
      <c r="B91" s="33" t="s">
        <v>175</v>
      </c>
      <c r="C91" s="42">
        <v>902</v>
      </c>
      <c r="D91" s="13" t="s">
        <v>2</v>
      </c>
      <c r="E91" s="13" t="s">
        <v>41</v>
      </c>
      <c r="F91" s="13" t="s">
        <v>8</v>
      </c>
      <c r="G91" s="25">
        <v>1</v>
      </c>
      <c r="H91" s="13" t="s">
        <v>4</v>
      </c>
      <c r="I91" s="13" t="s">
        <v>461</v>
      </c>
      <c r="J91" s="13" t="s">
        <v>58</v>
      </c>
      <c r="K91" s="17">
        <v>2565.4</v>
      </c>
      <c r="L91" s="17">
        <v>762.5</v>
      </c>
      <c r="M91" s="17">
        <f t="shared" si="8"/>
        <v>29.722460435019876</v>
      </c>
    </row>
    <row r="92" spans="1:13" s="12" customFormat="1" ht="49.15" customHeight="1" x14ac:dyDescent="0.2">
      <c r="A92" s="85"/>
      <c r="B92" s="33" t="s">
        <v>255</v>
      </c>
      <c r="C92" s="42">
        <v>902</v>
      </c>
      <c r="D92" s="13" t="s">
        <v>2</v>
      </c>
      <c r="E92" s="13" t="s">
        <v>41</v>
      </c>
      <c r="F92" s="13" t="s">
        <v>93</v>
      </c>
      <c r="G92" s="25"/>
      <c r="H92" s="13"/>
      <c r="I92" s="13"/>
      <c r="J92" s="13"/>
      <c r="K92" s="17">
        <f>K93+K97</f>
        <v>12277.7</v>
      </c>
      <c r="L92" s="17">
        <f>L93+L97</f>
        <v>5937.8</v>
      </c>
      <c r="M92" s="17">
        <f t="shared" si="8"/>
        <v>48.362478314342262</v>
      </c>
    </row>
    <row r="93" spans="1:13" s="12" customFormat="1" ht="48" customHeight="1" x14ac:dyDescent="0.2">
      <c r="A93" s="85"/>
      <c r="B93" s="33" t="s">
        <v>232</v>
      </c>
      <c r="C93" s="42">
        <v>902</v>
      </c>
      <c r="D93" s="13" t="s">
        <v>2</v>
      </c>
      <c r="E93" s="13" t="s">
        <v>41</v>
      </c>
      <c r="F93" s="13" t="s">
        <v>93</v>
      </c>
      <c r="G93" s="25">
        <v>2</v>
      </c>
      <c r="H93" s="13"/>
      <c r="I93" s="13"/>
      <c r="J93" s="13"/>
      <c r="K93" s="17">
        <f>K94</f>
        <v>3564.7</v>
      </c>
      <c r="L93" s="17">
        <f>L94</f>
        <v>1162.8</v>
      </c>
      <c r="M93" s="17">
        <f t="shared" si="8"/>
        <v>32.619855808342919</v>
      </c>
    </row>
    <row r="94" spans="1:13" s="12" customFormat="1" ht="82.9" customHeight="1" x14ac:dyDescent="0.2">
      <c r="A94" s="85"/>
      <c r="B94" s="33" t="s">
        <v>256</v>
      </c>
      <c r="C94" s="42">
        <v>902</v>
      </c>
      <c r="D94" s="13" t="s">
        <v>2</v>
      </c>
      <c r="E94" s="13" t="s">
        <v>41</v>
      </c>
      <c r="F94" s="13" t="s">
        <v>93</v>
      </c>
      <c r="G94" s="25">
        <v>2</v>
      </c>
      <c r="H94" s="13" t="s">
        <v>2</v>
      </c>
      <c r="I94" s="13" t="s">
        <v>234</v>
      </c>
      <c r="J94" s="13"/>
      <c r="K94" s="17">
        <f>SUM(K95+K96)</f>
        <v>3564.7</v>
      </c>
      <c r="L94" s="17">
        <f>SUM(L95+L96)</f>
        <v>1162.8</v>
      </c>
      <c r="M94" s="17">
        <f t="shared" si="8"/>
        <v>32.619855808342919</v>
      </c>
    </row>
    <row r="95" spans="1:13" s="12" customFormat="1" ht="31.5" x14ac:dyDescent="0.2">
      <c r="A95" s="85"/>
      <c r="B95" s="33" t="s">
        <v>175</v>
      </c>
      <c r="C95" s="42">
        <v>902</v>
      </c>
      <c r="D95" s="13" t="s">
        <v>2</v>
      </c>
      <c r="E95" s="13" t="s">
        <v>41</v>
      </c>
      <c r="F95" s="13" t="s">
        <v>93</v>
      </c>
      <c r="G95" s="25">
        <v>2</v>
      </c>
      <c r="H95" s="13" t="s">
        <v>2</v>
      </c>
      <c r="I95" s="13" t="s">
        <v>234</v>
      </c>
      <c r="J95" s="13" t="s">
        <v>58</v>
      </c>
      <c r="K95" s="17">
        <f>2301-34.5+2160.5-11.5-170-726.8</f>
        <v>3518.7</v>
      </c>
      <c r="L95" s="17">
        <v>1116.8</v>
      </c>
      <c r="M95" s="17">
        <f t="shared" si="8"/>
        <v>31.738994515019751</v>
      </c>
    </row>
    <row r="96" spans="1:13" s="12" customFormat="1" x14ac:dyDescent="0.2">
      <c r="A96" s="85"/>
      <c r="B96" s="33" t="s">
        <v>69</v>
      </c>
      <c r="C96" s="42">
        <v>902</v>
      </c>
      <c r="D96" s="13" t="s">
        <v>2</v>
      </c>
      <c r="E96" s="13" t="s">
        <v>41</v>
      </c>
      <c r="F96" s="13" t="s">
        <v>93</v>
      </c>
      <c r="G96" s="25">
        <v>2</v>
      </c>
      <c r="H96" s="13" t="s">
        <v>2</v>
      </c>
      <c r="I96" s="13" t="s">
        <v>234</v>
      </c>
      <c r="J96" s="13" t="s">
        <v>70</v>
      </c>
      <c r="K96" s="17">
        <f>34.5+11.5</f>
        <v>46</v>
      </c>
      <c r="L96" s="17">
        <v>46</v>
      </c>
      <c r="M96" s="17">
        <f t="shared" si="8"/>
        <v>100</v>
      </c>
    </row>
    <row r="97" spans="1:13" s="12" customFormat="1" ht="66.599999999999994" customHeight="1" x14ac:dyDescent="0.2">
      <c r="A97" s="85"/>
      <c r="B97" s="33" t="s">
        <v>336</v>
      </c>
      <c r="C97" s="42">
        <v>902</v>
      </c>
      <c r="D97" s="13" t="s">
        <v>2</v>
      </c>
      <c r="E97" s="13" t="s">
        <v>41</v>
      </c>
      <c r="F97" s="13" t="s">
        <v>93</v>
      </c>
      <c r="G97" s="13" t="s">
        <v>189</v>
      </c>
      <c r="H97" s="13"/>
      <c r="I97" s="13"/>
      <c r="J97" s="13"/>
      <c r="K97" s="17">
        <f t="shared" ref="K97:L99" si="9">SUM(K98)</f>
        <v>8713</v>
      </c>
      <c r="L97" s="17">
        <f t="shared" si="9"/>
        <v>4775</v>
      </c>
      <c r="M97" s="17">
        <f t="shared" si="8"/>
        <v>54.803167680477451</v>
      </c>
    </row>
    <row r="98" spans="1:13" s="12" customFormat="1" ht="48.6" customHeight="1" x14ac:dyDescent="0.2">
      <c r="A98" s="85"/>
      <c r="B98" s="33" t="s">
        <v>337</v>
      </c>
      <c r="C98" s="42">
        <v>902</v>
      </c>
      <c r="D98" s="13" t="s">
        <v>2</v>
      </c>
      <c r="E98" s="13" t="s">
        <v>41</v>
      </c>
      <c r="F98" s="13" t="s">
        <v>93</v>
      </c>
      <c r="G98" s="13" t="s">
        <v>189</v>
      </c>
      <c r="H98" s="13" t="s">
        <v>2</v>
      </c>
      <c r="I98" s="13"/>
      <c r="J98" s="13"/>
      <c r="K98" s="17">
        <f t="shared" si="9"/>
        <v>8713</v>
      </c>
      <c r="L98" s="17">
        <f t="shared" si="9"/>
        <v>4775</v>
      </c>
      <c r="M98" s="17">
        <f t="shared" si="8"/>
        <v>54.803167680477451</v>
      </c>
    </row>
    <row r="99" spans="1:13" s="12" customFormat="1" ht="114" customHeight="1" x14ac:dyDescent="0.2">
      <c r="A99" s="85"/>
      <c r="B99" s="33" t="s">
        <v>435</v>
      </c>
      <c r="C99" s="42">
        <v>902</v>
      </c>
      <c r="D99" s="13" t="s">
        <v>2</v>
      </c>
      <c r="E99" s="13" t="s">
        <v>41</v>
      </c>
      <c r="F99" s="13" t="s">
        <v>93</v>
      </c>
      <c r="G99" s="13" t="s">
        <v>189</v>
      </c>
      <c r="H99" s="13" t="s">
        <v>2</v>
      </c>
      <c r="I99" s="13" t="s">
        <v>338</v>
      </c>
      <c r="J99" s="13"/>
      <c r="K99" s="17">
        <f t="shared" si="9"/>
        <v>8713</v>
      </c>
      <c r="L99" s="17">
        <f t="shared" si="9"/>
        <v>4775</v>
      </c>
      <c r="M99" s="17">
        <f t="shared" si="8"/>
        <v>54.803167680477451</v>
      </c>
    </row>
    <row r="100" spans="1:13" s="12" customFormat="1" ht="31.5" x14ac:dyDescent="0.2">
      <c r="A100" s="85"/>
      <c r="B100" s="53" t="s">
        <v>76</v>
      </c>
      <c r="C100" s="42">
        <v>902</v>
      </c>
      <c r="D100" s="13" t="s">
        <v>2</v>
      </c>
      <c r="E100" s="13" t="s">
        <v>41</v>
      </c>
      <c r="F100" s="13" t="s">
        <v>93</v>
      </c>
      <c r="G100" s="13" t="s">
        <v>189</v>
      </c>
      <c r="H100" s="13" t="s">
        <v>2</v>
      </c>
      <c r="I100" s="13" t="s">
        <v>338</v>
      </c>
      <c r="J100" s="13" t="s">
        <v>77</v>
      </c>
      <c r="K100" s="17">
        <f>7591+912+210</f>
        <v>8713</v>
      </c>
      <c r="L100" s="17">
        <v>4775</v>
      </c>
      <c r="M100" s="17">
        <f t="shared" si="8"/>
        <v>54.803167680477451</v>
      </c>
    </row>
    <row r="101" spans="1:13" s="12" customFormat="1" ht="33.6" customHeight="1" x14ac:dyDescent="0.2">
      <c r="A101" s="85"/>
      <c r="B101" s="50" t="s">
        <v>279</v>
      </c>
      <c r="C101" s="42">
        <v>902</v>
      </c>
      <c r="D101" s="13" t="s">
        <v>2</v>
      </c>
      <c r="E101" s="13" t="s">
        <v>41</v>
      </c>
      <c r="F101" s="13" t="s">
        <v>128</v>
      </c>
      <c r="G101" s="13"/>
      <c r="H101" s="13"/>
      <c r="I101" s="13"/>
      <c r="J101" s="13"/>
      <c r="K101" s="17">
        <f t="shared" ref="K101:L104" si="10">K102</f>
        <v>360</v>
      </c>
      <c r="L101" s="17">
        <f t="shared" si="10"/>
        <v>0</v>
      </c>
      <c r="M101" s="17">
        <f t="shared" si="8"/>
        <v>0</v>
      </c>
    </row>
    <row r="102" spans="1:13" s="12" customFormat="1" x14ac:dyDescent="0.2">
      <c r="A102" s="85"/>
      <c r="B102" s="33" t="s">
        <v>377</v>
      </c>
      <c r="C102" s="42">
        <v>902</v>
      </c>
      <c r="D102" s="13" t="s">
        <v>2</v>
      </c>
      <c r="E102" s="13" t="s">
        <v>41</v>
      </c>
      <c r="F102" s="13" t="s">
        <v>128</v>
      </c>
      <c r="G102" s="13" t="s">
        <v>133</v>
      </c>
      <c r="H102" s="13"/>
      <c r="I102" s="13"/>
      <c r="J102" s="26"/>
      <c r="K102" s="17">
        <f t="shared" si="10"/>
        <v>360</v>
      </c>
      <c r="L102" s="17">
        <f t="shared" si="10"/>
        <v>0</v>
      </c>
      <c r="M102" s="17">
        <f t="shared" si="8"/>
        <v>0</v>
      </c>
    </row>
    <row r="103" spans="1:13" s="12" customFormat="1" ht="46.9" customHeight="1" x14ac:dyDescent="0.2">
      <c r="A103" s="85"/>
      <c r="B103" s="33" t="s">
        <v>378</v>
      </c>
      <c r="C103" s="42">
        <v>902</v>
      </c>
      <c r="D103" s="13" t="s">
        <v>2</v>
      </c>
      <c r="E103" s="13" t="s">
        <v>41</v>
      </c>
      <c r="F103" s="13" t="s">
        <v>128</v>
      </c>
      <c r="G103" s="13" t="s">
        <v>133</v>
      </c>
      <c r="H103" s="13" t="s">
        <v>2</v>
      </c>
      <c r="I103" s="13"/>
      <c r="J103" s="26"/>
      <c r="K103" s="17">
        <f t="shared" si="10"/>
        <v>360</v>
      </c>
      <c r="L103" s="17">
        <f t="shared" si="10"/>
        <v>0</v>
      </c>
      <c r="M103" s="17">
        <f t="shared" si="8"/>
        <v>0</v>
      </c>
    </row>
    <row r="104" spans="1:13" s="12" customFormat="1" ht="33.6" customHeight="1" x14ac:dyDescent="0.2">
      <c r="A104" s="85"/>
      <c r="B104" s="33" t="s">
        <v>379</v>
      </c>
      <c r="C104" s="42">
        <v>902</v>
      </c>
      <c r="D104" s="13" t="s">
        <v>2</v>
      </c>
      <c r="E104" s="13" t="s">
        <v>41</v>
      </c>
      <c r="F104" s="13" t="s">
        <v>128</v>
      </c>
      <c r="G104" s="13" t="s">
        <v>133</v>
      </c>
      <c r="H104" s="13" t="s">
        <v>2</v>
      </c>
      <c r="I104" s="13" t="s">
        <v>380</v>
      </c>
      <c r="J104" s="26"/>
      <c r="K104" s="17">
        <f t="shared" si="10"/>
        <v>360</v>
      </c>
      <c r="L104" s="17">
        <f t="shared" si="10"/>
        <v>0</v>
      </c>
      <c r="M104" s="17">
        <f t="shared" si="8"/>
        <v>0</v>
      </c>
    </row>
    <row r="105" spans="1:13" s="12" customFormat="1" ht="31.5" x14ac:dyDescent="0.2">
      <c r="A105" s="85"/>
      <c r="B105" s="33" t="s">
        <v>175</v>
      </c>
      <c r="C105" s="42">
        <v>902</v>
      </c>
      <c r="D105" s="13" t="s">
        <v>2</v>
      </c>
      <c r="E105" s="13" t="s">
        <v>41</v>
      </c>
      <c r="F105" s="13" t="s">
        <v>128</v>
      </c>
      <c r="G105" s="13" t="s">
        <v>133</v>
      </c>
      <c r="H105" s="13" t="s">
        <v>2</v>
      </c>
      <c r="I105" s="13" t="s">
        <v>380</v>
      </c>
      <c r="J105" s="26" t="s">
        <v>58</v>
      </c>
      <c r="K105" s="17">
        <v>360</v>
      </c>
      <c r="L105" s="17">
        <v>0</v>
      </c>
      <c r="M105" s="17">
        <f t="shared" si="8"/>
        <v>0</v>
      </c>
    </row>
    <row r="106" spans="1:13" s="12" customFormat="1" ht="31.5" x14ac:dyDescent="0.2">
      <c r="A106" s="85"/>
      <c r="B106" s="50" t="s">
        <v>257</v>
      </c>
      <c r="C106" s="42">
        <v>902</v>
      </c>
      <c r="D106" s="13" t="s">
        <v>2</v>
      </c>
      <c r="E106" s="13" t="s">
        <v>41</v>
      </c>
      <c r="F106" s="13" t="s">
        <v>111</v>
      </c>
      <c r="G106" s="25"/>
      <c r="H106" s="13"/>
      <c r="I106" s="13"/>
      <c r="J106" s="13"/>
      <c r="K106" s="17">
        <f t="shared" ref="K106:L109" si="11">SUM(K107)</f>
        <v>11288.1</v>
      </c>
      <c r="L106" s="17">
        <f t="shared" si="11"/>
        <v>7813.5</v>
      </c>
      <c r="M106" s="17">
        <f t="shared" si="8"/>
        <v>69.218911951524163</v>
      </c>
    </row>
    <row r="107" spans="1:13" s="12" customFormat="1" ht="31.5" x14ac:dyDescent="0.2">
      <c r="A107" s="85"/>
      <c r="B107" s="50" t="s">
        <v>408</v>
      </c>
      <c r="C107" s="42">
        <v>902</v>
      </c>
      <c r="D107" s="13" t="s">
        <v>2</v>
      </c>
      <c r="E107" s="13" t="s">
        <v>41</v>
      </c>
      <c r="F107" s="13" t="s">
        <v>111</v>
      </c>
      <c r="G107" s="25">
        <v>1</v>
      </c>
      <c r="H107" s="13"/>
      <c r="I107" s="13"/>
      <c r="J107" s="13"/>
      <c r="K107" s="17">
        <f t="shared" si="11"/>
        <v>11288.1</v>
      </c>
      <c r="L107" s="17">
        <f t="shared" si="11"/>
        <v>7813.5</v>
      </c>
      <c r="M107" s="17">
        <f t="shared" si="8"/>
        <v>69.218911951524163</v>
      </c>
    </row>
    <row r="108" spans="1:13" s="12" customFormat="1" ht="33.6" customHeight="1" x14ac:dyDescent="0.2">
      <c r="A108" s="85"/>
      <c r="B108" s="50" t="s">
        <v>112</v>
      </c>
      <c r="C108" s="42">
        <v>902</v>
      </c>
      <c r="D108" s="13" t="s">
        <v>2</v>
      </c>
      <c r="E108" s="13" t="s">
        <v>41</v>
      </c>
      <c r="F108" s="13" t="s">
        <v>111</v>
      </c>
      <c r="G108" s="25">
        <v>1</v>
      </c>
      <c r="H108" s="13" t="s">
        <v>2</v>
      </c>
      <c r="I108" s="13"/>
      <c r="J108" s="13"/>
      <c r="K108" s="17">
        <f t="shared" si="11"/>
        <v>11288.1</v>
      </c>
      <c r="L108" s="17">
        <f t="shared" si="11"/>
        <v>7813.5</v>
      </c>
      <c r="M108" s="17">
        <f t="shared" si="8"/>
        <v>69.218911951524163</v>
      </c>
    </row>
    <row r="109" spans="1:13" s="12" customFormat="1" ht="33.6" customHeight="1" x14ac:dyDescent="0.2">
      <c r="A109" s="85"/>
      <c r="B109" s="55" t="s">
        <v>113</v>
      </c>
      <c r="C109" s="42">
        <v>902</v>
      </c>
      <c r="D109" s="13" t="s">
        <v>2</v>
      </c>
      <c r="E109" s="13" t="s">
        <v>41</v>
      </c>
      <c r="F109" s="13" t="s">
        <v>111</v>
      </c>
      <c r="G109" s="25">
        <v>1</v>
      </c>
      <c r="H109" s="13" t="s">
        <v>2</v>
      </c>
      <c r="I109" s="13" t="s">
        <v>114</v>
      </c>
      <c r="J109" s="13"/>
      <c r="K109" s="17">
        <f t="shared" si="11"/>
        <v>11288.1</v>
      </c>
      <c r="L109" s="17">
        <f t="shared" si="11"/>
        <v>7813.5</v>
      </c>
      <c r="M109" s="17">
        <f t="shared" si="8"/>
        <v>69.218911951524163</v>
      </c>
    </row>
    <row r="110" spans="1:13" s="12" customFormat="1" ht="31.5" x14ac:dyDescent="0.2">
      <c r="A110" s="85"/>
      <c r="B110" s="53" t="s">
        <v>76</v>
      </c>
      <c r="C110" s="42">
        <v>902</v>
      </c>
      <c r="D110" s="13" t="s">
        <v>2</v>
      </c>
      <c r="E110" s="13" t="s">
        <v>41</v>
      </c>
      <c r="F110" s="13" t="s">
        <v>111</v>
      </c>
      <c r="G110" s="25">
        <v>1</v>
      </c>
      <c r="H110" s="13" t="s">
        <v>2</v>
      </c>
      <c r="I110" s="13" t="s">
        <v>114</v>
      </c>
      <c r="J110" s="13" t="s">
        <v>77</v>
      </c>
      <c r="K110" s="17">
        <f>5588+5063+637.1</f>
        <v>11288.1</v>
      </c>
      <c r="L110" s="17">
        <v>7813.5</v>
      </c>
      <c r="M110" s="17">
        <f t="shared" si="8"/>
        <v>69.218911951524163</v>
      </c>
    </row>
    <row r="111" spans="1:13" s="12" customFormat="1" ht="31.5" x14ac:dyDescent="0.2">
      <c r="A111" s="85"/>
      <c r="B111" s="33" t="s">
        <v>89</v>
      </c>
      <c r="C111" s="42">
        <v>902</v>
      </c>
      <c r="D111" s="13" t="s">
        <v>2</v>
      </c>
      <c r="E111" s="13" t="s">
        <v>41</v>
      </c>
      <c r="F111" s="13" t="s">
        <v>109</v>
      </c>
      <c r="G111" s="25"/>
      <c r="H111" s="13"/>
      <c r="I111" s="13"/>
      <c r="J111" s="13"/>
      <c r="K111" s="17">
        <f>SUM(K112+K116)</f>
        <v>4273.8</v>
      </c>
      <c r="L111" s="17">
        <f>SUM(L112+L116)</f>
        <v>3190.8</v>
      </c>
      <c r="M111" s="17">
        <f t="shared" si="8"/>
        <v>74.65955355889372</v>
      </c>
    </row>
    <row r="112" spans="1:13" s="12" customFormat="1" ht="31.5" x14ac:dyDescent="0.2">
      <c r="A112" s="85"/>
      <c r="B112" s="33" t="s">
        <v>59</v>
      </c>
      <c r="C112" s="42">
        <v>902</v>
      </c>
      <c r="D112" s="13" t="s">
        <v>2</v>
      </c>
      <c r="E112" s="13" t="s">
        <v>41</v>
      </c>
      <c r="F112" s="13" t="s">
        <v>109</v>
      </c>
      <c r="G112" s="25">
        <v>1</v>
      </c>
      <c r="H112" s="13"/>
      <c r="I112" s="13"/>
      <c r="J112" s="13"/>
      <c r="K112" s="17">
        <f t="shared" ref="K112:L112" si="12">SUM(K113)</f>
        <v>3399.4</v>
      </c>
      <c r="L112" s="17">
        <f t="shared" si="12"/>
        <v>2316.4</v>
      </c>
      <c r="M112" s="17">
        <f t="shared" si="8"/>
        <v>68.141436724127786</v>
      </c>
    </row>
    <row r="113" spans="1:13" s="12" customFormat="1" ht="31.5" x14ac:dyDescent="0.2">
      <c r="A113" s="85"/>
      <c r="B113" s="33" t="s">
        <v>54</v>
      </c>
      <c r="C113" s="42">
        <v>902</v>
      </c>
      <c r="D113" s="13" t="s">
        <v>2</v>
      </c>
      <c r="E113" s="13" t="s">
        <v>41</v>
      </c>
      <c r="F113" s="13" t="s">
        <v>109</v>
      </c>
      <c r="G113" s="25">
        <v>1</v>
      </c>
      <c r="H113" s="13" t="s">
        <v>102</v>
      </c>
      <c r="I113" s="13" t="s">
        <v>104</v>
      </c>
      <c r="J113" s="13"/>
      <c r="K113" s="17">
        <f>SUM(K114:K115)</f>
        <v>3399.4</v>
      </c>
      <c r="L113" s="17">
        <f>SUM(L114:L115)</f>
        <v>2316.4</v>
      </c>
      <c r="M113" s="17">
        <f t="shared" si="8"/>
        <v>68.141436724127786</v>
      </c>
    </row>
    <row r="114" spans="1:13" s="12" customFormat="1" ht="49.9" customHeight="1" x14ac:dyDescent="0.2">
      <c r="A114" s="85"/>
      <c r="B114" s="33" t="s">
        <v>55</v>
      </c>
      <c r="C114" s="42">
        <v>902</v>
      </c>
      <c r="D114" s="13" t="s">
        <v>2</v>
      </c>
      <c r="E114" s="13" t="s">
        <v>41</v>
      </c>
      <c r="F114" s="13" t="s">
        <v>109</v>
      </c>
      <c r="G114" s="25">
        <v>1</v>
      </c>
      <c r="H114" s="13" t="s">
        <v>102</v>
      </c>
      <c r="I114" s="13" t="s">
        <v>104</v>
      </c>
      <c r="J114" s="13" t="s">
        <v>56</v>
      </c>
      <c r="K114" s="17">
        <f>3297.9+32.8</f>
        <v>3330.7000000000003</v>
      </c>
      <c r="L114" s="17">
        <v>2300.8000000000002</v>
      </c>
      <c r="M114" s="17">
        <f t="shared" si="8"/>
        <v>69.078572071936833</v>
      </c>
    </row>
    <row r="115" spans="1:13" s="12" customFormat="1" ht="31.5" x14ac:dyDescent="0.2">
      <c r="A115" s="85"/>
      <c r="B115" s="33" t="s">
        <v>175</v>
      </c>
      <c r="C115" s="42">
        <v>902</v>
      </c>
      <c r="D115" s="13" t="s">
        <v>2</v>
      </c>
      <c r="E115" s="13" t="s">
        <v>41</v>
      </c>
      <c r="F115" s="13" t="s">
        <v>109</v>
      </c>
      <c r="G115" s="25">
        <v>1</v>
      </c>
      <c r="H115" s="13" t="s">
        <v>102</v>
      </c>
      <c r="I115" s="13" t="s">
        <v>104</v>
      </c>
      <c r="J115" s="13" t="s">
        <v>58</v>
      </c>
      <c r="K115" s="17">
        <f>68+0.7</f>
        <v>68.7</v>
      </c>
      <c r="L115" s="17">
        <v>15.6</v>
      </c>
      <c r="M115" s="17">
        <f t="shared" si="8"/>
        <v>22.707423580786024</v>
      </c>
    </row>
    <row r="116" spans="1:13" s="12" customFormat="1" ht="33" customHeight="1" x14ac:dyDescent="0.2">
      <c r="A116" s="85"/>
      <c r="B116" s="33" t="s">
        <v>368</v>
      </c>
      <c r="C116" s="42">
        <v>902</v>
      </c>
      <c r="D116" s="13" t="s">
        <v>2</v>
      </c>
      <c r="E116" s="13" t="s">
        <v>41</v>
      </c>
      <c r="F116" s="13" t="s">
        <v>109</v>
      </c>
      <c r="G116" s="13" t="s">
        <v>133</v>
      </c>
      <c r="H116" s="13"/>
      <c r="I116" s="13"/>
      <c r="J116" s="13"/>
      <c r="K116" s="17">
        <f>K117</f>
        <v>874.4</v>
      </c>
      <c r="L116" s="17">
        <f>L117</f>
        <v>874.4</v>
      </c>
      <c r="M116" s="17">
        <f t="shared" si="8"/>
        <v>100</v>
      </c>
    </row>
    <row r="117" spans="1:13" s="12" customFormat="1" ht="33.6" customHeight="1" x14ac:dyDescent="0.2">
      <c r="A117" s="85"/>
      <c r="B117" s="33" t="s">
        <v>368</v>
      </c>
      <c r="C117" s="42">
        <v>902</v>
      </c>
      <c r="D117" s="13" t="s">
        <v>2</v>
      </c>
      <c r="E117" s="13" t="s">
        <v>41</v>
      </c>
      <c r="F117" s="13" t="s">
        <v>109</v>
      </c>
      <c r="G117" s="13" t="s">
        <v>133</v>
      </c>
      <c r="H117" s="13" t="s">
        <v>102</v>
      </c>
      <c r="I117" s="13" t="s">
        <v>367</v>
      </c>
      <c r="J117" s="13"/>
      <c r="K117" s="17">
        <f>K118</f>
        <v>874.4</v>
      </c>
      <c r="L117" s="17">
        <f>L118</f>
        <v>874.4</v>
      </c>
      <c r="M117" s="17">
        <f t="shared" si="8"/>
        <v>100</v>
      </c>
    </row>
    <row r="118" spans="1:13" s="12" customFormat="1" x14ac:dyDescent="0.2">
      <c r="A118" s="85"/>
      <c r="B118" s="33" t="s">
        <v>60</v>
      </c>
      <c r="C118" s="42">
        <v>902</v>
      </c>
      <c r="D118" s="13" t="s">
        <v>2</v>
      </c>
      <c r="E118" s="13" t="s">
        <v>41</v>
      </c>
      <c r="F118" s="13" t="s">
        <v>109</v>
      </c>
      <c r="G118" s="13" t="s">
        <v>133</v>
      </c>
      <c r="H118" s="13" t="s">
        <v>102</v>
      </c>
      <c r="I118" s="13" t="s">
        <v>367</v>
      </c>
      <c r="J118" s="13" t="s">
        <v>61</v>
      </c>
      <c r="K118" s="17">
        <v>874.4</v>
      </c>
      <c r="L118" s="17">
        <v>874.4</v>
      </c>
      <c r="M118" s="17">
        <f t="shared" si="8"/>
        <v>100</v>
      </c>
    </row>
    <row r="119" spans="1:13" s="12" customFormat="1" ht="51" customHeight="1" x14ac:dyDescent="0.2">
      <c r="A119" s="85"/>
      <c r="B119" s="33" t="s">
        <v>84</v>
      </c>
      <c r="C119" s="42">
        <v>902</v>
      </c>
      <c r="D119" s="13" t="s">
        <v>2</v>
      </c>
      <c r="E119" s="13" t="s">
        <v>41</v>
      </c>
      <c r="F119" s="13" t="s">
        <v>141</v>
      </c>
      <c r="G119" s="25"/>
      <c r="H119" s="13"/>
      <c r="I119" s="13"/>
      <c r="J119" s="13"/>
      <c r="K119" s="17">
        <f>K120</f>
        <v>1056504.6000000001</v>
      </c>
      <c r="L119" s="17">
        <f>L120</f>
        <v>1044709.2</v>
      </c>
      <c r="M119" s="17">
        <f t="shared" si="8"/>
        <v>98.88354485157943</v>
      </c>
    </row>
    <row r="120" spans="1:13" s="12" customFormat="1" x14ac:dyDescent="0.2">
      <c r="A120" s="85"/>
      <c r="B120" s="33" t="s">
        <v>64</v>
      </c>
      <c r="C120" s="42">
        <v>902</v>
      </c>
      <c r="D120" s="13" t="s">
        <v>2</v>
      </c>
      <c r="E120" s="13" t="s">
        <v>41</v>
      </c>
      <c r="F120" s="13" t="s">
        <v>141</v>
      </c>
      <c r="G120" s="25">
        <v>2</v>
      </c>
      <c r="H120" s="13"/>
      <c r="I120" s="13"/>
      <c r="J120" s="13"/>
      <c r="K120" s="17">
        <f>K123+K121</f>
        <v>1056504.6000000001</v>
      </c>
      <c r="L120" s="17">
        <f>L123+L121</f>
        <v>1044709.2</v>
      </c>
      <c r="M120" s="17">
        <f t="shared" si="8"/>
        <v>98.88354485157943</v>
      </c>
    </row>
    <row r="121" spans="1:13" s="12" customFormat="1" ht="33.6" customHeight="1" x14ac:dyDescent="0.2">
      <c r="A121" s="85"/>
      <c r="B121" s="33" t="s">
        <v>557</v>
      </c>
      <c r="C121" s="42">
        <v>902</v>
      </c>
      <c r="D121" s="13" t="s">
        <v>2</v>
      </c>
      <c r="E121" s="13" t="s">
        <v>41</v>
      </c>
      <c r="F121" s="13" t="s">
        <v>141</v>
      </c>
      <c r="G121" s="13" t="s">
        <v>166</v>
      </c>
      <c r="H121" s="13" t="s">
        <v>102</v>
      </c>
      <c r="I121" s="13" t="s">
        <v>556</v>
      </c>
      <c r="J121" s="13"/>
      <c r="K121" s="17">
        <f>SUM(K122)</f>
        <v>534457.80000000005</v>
      </c>
      <c r="L121" s="17">
        <f>SUM(L122)</f>
        <v>527112</v>
      </c>
      <c r="M121" s="17">
        <f t="shared" si="8"/>
        <v>98.625560334230315</v>
      </c>
    </row>
    <row r="122" spans="1:13" s="12" customFormat="1" ht="31.5" x14ac:dyDescent="0.2">
      <c r="A122" s="85"/>
      <c r="B122" s="33" t="s">
        <v>175</v>
      </c>
      <c r="C122" s="42">
        <v>902</v>
      </c>
      <c r="D122" s="13" t="s">
        <v>2</v>
      </c>
      <c r="E122" s="13" t="s">
        <v>41</v>
      </c>
      <c r="F122" s="13" t="s">
        <v>141</v>
      </c>
      <c r="G122" s="13" t="s">
        <v>166</v>
      </c>
      <c r="H122" s="13" t="s">
        <v>102</v>
      </c>
      <c r="I122" s="13" t="s">
        <v>556</v>
      </c>
      <c r="J122" s="13" t="s">
        <v>58</v>
      </c>
      <c r="K122" s="17">
        <f>226413+135457.2+92305.8+80281.8</f>
        <v>534457.80000000005</v>
      </c>
      <c r="L122" s="17">
        <v>527112</v>
      </c>
      <c r="M122" s="17">
        <f t="shared" si="8"/>
        <v>98.625560334230315</v>
      </c>
    </row>
    <row r="123" spans="1:13" s="12" customFormat="1" ht="112.9" customHeight="1" x14ac:dyDescent="0.2">
      <c r="A123" s="85"/>
      <c r="B123" s="33" t="s">
        <v>543</v>
      </c>
      <c r="C123" s="42">
        <v>902</v>
      </c>
      <c r="D123" s="13" t="s">
        <v>2</v>
      </c>
      <c r="E123" s="13" t="s">
        <v>41</v>
      </c>
      <c r="F123" s="13" t="s">
        <v>141</v>
      </c>
      <c r="G123" s="13" t="s">
        <v>166</v>
      </c>
      <c r="H123" s="13" t="s">
        <v>102</v>
      </c>
      <c r="I123" s="13" t="s">
        <v>542</v>
      </c>
      <c r="J123" s="13"/>
      <c r="K123" s="17">
        <f>SUM(K124)</f>
        <v>522046.8</v>
      </c>
      <c r="L123" s="17">
        <f>SUM(L124)</f>
        <v>517597.2</v>
      </c>
      <c r="M123" s="17">
        <f t="shared" si="8"/>
        <v>99.147662623351025</v>
      </c>
    </row>
    <row r="124" spans="1:13" s="12" customFormat="1" ht="31.5" x14ac:dyDescent="0.2">
      <c r="A124" s="85"/>
      <c r="B124" s="33" t="s">
        <v>175</v>
      </c>
      <c r="C124" s="42">
        <v>902</v>
      </c>
      <c r="D124" s="13" t="s">
        <v>2</v>
      </c>
      <c r="E124" s="13" t="s">
        <v>41</v>
      </c>
      <c r="F124" s="13" t="s">
        <v>141</v>
      </c>
      <c r="G124" s="13" t="s">
        <v>166</v>
      </c>
      <c r="H124" s="13" t="s">
        <v>102</v>
      </c>
      <c r="I124" s="13" t="s">
        <v>542</v>
      </c>
      <c r="J124" s="13" t="s">
        <v>58</v>
      </c>
      <c r="K124" s="17">
        <f>450120.6+71926.2</f>
        <v>522046.8</v>
      </c>
      <c r="L124" s="17">
        <v>517597.2</v>
      </c>
      <c r="M124" s="17">
        <f t="shared" si="8"/>
        <v>99.147662623351025</v>
      </c>
    </row>
    <row r="125" spans="1:13" s="12" customFormat="1" x14ac:dyDescent="0.2">
      <c r="A125" s="85"/>
      <c r="B125" s="33" t="s">
        <v>11</v>
      </c>
      <c r="C125" s="42">
        <v>902</v>
      </c>
      <c r="D125" s="13" t="s">
        <v>4</v>
      </c>
      <c r="E125" s="13"/>
      <c r="F125" s="13"/>
      <c r="G125" s="25"/>
      <c r="H125" s="13"/>
      <c r="I125" s="13"/>
      <c r="J125" s="13"/>
      <c r="K125" s="17">
        <f t="shared" ref="K125:L129" si="13">SUM(K126)</f>
        <v>279.39999999999998</v>
      </c>
      <c r="L125" s="17">
        <f t="shared" si="13"/>
        <v>260.2</v>
      </c>
      <c r="M125" s="17">
        <f t="shared" si="8"/>
        <v>93.128131710808887</v>
      </c>
    </row>
    <row r="126" spans="1:13" s="12" customFormat="1" x14ac:dyDescent="0.2">
      <c r="A126" s="85"/>
      <c r="B126" s="33" t="s">
        <v>12</v>
      </c>
      <c r="C126" s="42">
        <v>902</v>
      </c>
      <c r="D126" s="13" t="s">
        <v>4</v>
      </c>
      <c r="E126" s="13" t="s">
        <v>6</v>
      </c>
      <c r="F126" s="13"/>
      <c r="G126" s="25"/>
      <c r="H126" s="13"/>
      <c r="I126" s="13"/>
      <c r="J126" s="13"/>
      <c r="K126" s="17">
        <f t="shared" si="13"/>
        <v>279.39999999999998</v>
      </c>
      <c r="L126" s="17">
        <f t="shared" si="13"/>
        <v>260.2</v>
      </c>
      <c r="M126" s="17">
        <f t="shared" si="8"/>
        <v>93.128131710808887</v>
      </c>
    </row>
    <row r="127" spans="1:13" s="12" customFormat="1" ht="33.6" customHeight="1" x14ac:dyDescent="0.2">
      <c r="A127" s="85"/>
      <c r="B127" s="33" t="s">
        <v>63</v>
      </c>
      <c r="C127" s="42">
        <v>902</v>
      </c>
      <c r="D127" s="13" t="s">
        <v>4</v>
      </c>
      <c r="E127" s="13" t="s">
        <v>6</v>
      </c>
      <c r="F127" s="13" t="s">
        <v>117</v>
      </c>
      <c r="G127" s="25"/>
      <c r="H127" s="13"/>
      <c r="I127" s="13"/>
      <c r="J127" s="13"/>
      <c r="K127" s="17">
        <f t="shared" ref="K127:L128" si="14">SUM(K128)</f>
        <v>279.39999999999998</v>
      </c>
      <c r="L127" s="17">
        <f t="shared" si="14"/>
        <v>260.2</v>
      </c>
      <c r="M127" s="17">
        <f t="shared" si="8"/>
        <v>93.128131710808887</v>
      </c>
    </row>
    <row r="128" spans="1:13" s="12" customFormat="1" x14ac:dyDescent="0.2">
      <c r="A128" s="85"/>
      <c r="B128" s="33" t="s">
        <v>101</v>
      </c>
      <c r="C128" s="42">
        <v>902</v>
      </c>
      <c r="D128" s="13" t="s">
        <v>4</v>
      </c>
      <c r="E128" s="13" t="s">
        <v>6</v>
      </c>
      <c r="F128" s="13" t="s">
        <v>117</v>
      </c>
      <c r="G128" s="25">
        <v>1</v>
      </c>
      <c r="H128" s="13"/>
      <c r="I128" s="13"/>
      <c r="J128" s="13"/>
      <c r="K128" s="17">
        <f t="shared" si="14"/>
        <v>279.39999999999998</v>
      </c>
      <c r="L128" s="17">
        <f t="shared" si="14"/>
        <v>260.2</v>
      </c>
      <c r="M128" s="17">
        <f t="shared" si="8"/>
        <v>93.128131710808887</v>
      </c>
    </row>
    <row r="129" spans="1:13" s="12" customFormat="1" ht="33.6" customHeight="1" x14ac:dyDescent="0.2">
      <c r="A129" s="85"/>
      <c r="B129" s="33" t="s">
        <v>13</v>
      </c>
      <c r="C129" s="42">
        <v>902</v>
      </c>
      <c r="D129" s="13" t="s">
        <v>4</v>
      </c>
      <c r="E129" s="13" t="s">
        <v>6</v>
      </c>
      <c r="F129" s="13" t="s">
        <v>117</v>
      </c>
      <c r="G129" s="25">
        <v>1</v>
      </c>
      <c r="H129" s="13" t="s">
        <v>102</v>
      </c>
      <c r="I129" s="13" t="s">
        <v>118</v>
      </c>
      <c r="J129" s="13"/>
      <c r="K129" s="17">
        <f t="shared" si="13"/>
        <v>279.39999999999998</v>
      </c>
      <c r="L129" s="17">
        <f t="shared" si="13"/>
        <v>260.2</v>
      </c>
      <c r="M129" s="17">
        <f t="shared" si="8"/>
        <v>93.128131710808887</v>
      </c>
    </row>
    <row r="130" spans="1:13" s="12" customFormat="1" ht="31.5" x14ac:dyDescent="0.2">
      <c r="A130" s="85"/>
      <c r="B130" s="33" t="s">
        <v>175</v>
      </c>
      <c r="C130" s="42">
        <v>902</v>
      </c>
      <c r="D130" s="13" t="s">
        <v>4</v>
      </c>
      <c r="E130" s="13" t="s">
        <v>6</v>
      </c>
      <c r="F130" s="13" t="s">
        <v>117</v>
      </c>
      <c r="G130" s="25">
        <v>1</v>
      </c>
      <c r="H130" s="13" t="s">
        <v>102</v>
      </c>
      <c r="I130" s="13" t="s">
        <v>118</v>
      </c>
      <c r="J130" s="13" t="s">
        <v>58</v>
      </c>
      <c r="K130" s="17">
        <v>279.39999999999998</v>
      </c>
      <c r="L130" s="17">
        <v>260.2</v>
      </c>
      <c r="M130" s="17">
        <f t="shared" si="8"/>
        <v>93.128131710808887</v>
      </c>
    </row>
    <row r="131" spans="1:13" s="12" customFormat="1" ht="32.450000000000003" customHeight="1" x14ac:dyDescent="0.2">
      <c r="A131" s="85"/>
      <c r="B131" s="33" t="s">
        <v>14</v>
      </c>
      <c r="C131" s="42">
        <v>902</v>
      </c>
      <c r="D131" s="13" t="s">
        <v>5</v>
      </c>
      <c r="E131" s="13"/>
      <c r="F131" s="13"/>
      <c r="G131" s="25"/>
      <c r="H131" s="13"/>
      <c r="I131" s="13"/>
      <c r="J131" s="13"/>
      <c r="K131" s="17">
        <f>K139+K132</f>
        <v>1365.5</v>
      </c>
      <c r="L131" s="17">
        <f>L139+L132</f>
        <v>101.1</v>
      </c>
      <c r="M131" s="17">
        <f t="shared" si="8"/>
        <v>7.403881362138411</v>
      </c>
    </row>
    <row r="132" spans="1:13" s="12" customFormat="1" ht="46.9" customHeight="1" x14ac:dyDescent="0.2">
      <c r="A132" s="85"/>
      <c r="B132" s="33" t="s">
        <v>412</v>
      </c>
      <c r="C132" s="42">
        <v>902</v>
      </c>
      <c r="D132" s="13" t="s">
        <v>5</v>
      </c>
      <c r="E132" s="13" t="s">
        <v>21</v>
      </c>
      <c r="F132" s="13"/>
      <c r="G132" s="25"/>
      <c r="H132" s="13"/>
      <c r="I132" s="13"/>
      <c r="J132" s="13"/>
      <c r="K132" s="17">
        <f>K133</f>
        <v>0</v>
      </c>
      <c r="L132" s="17">
        <f>L133</f>
        <v>0</v>
      </c>
      <c r="M132" s="17"/>
    </row>
    <row r="133" spans="1:13" s="12" customFormat="1" ht="51" customHeight="1" x14ac:dyDescent="0.2">
      <c r="A133" s="85"/>
      <c r="B133" s="33" t="s">
        <v>84</v>
      </c>
      <c r="C133" s="42">
        <v>902</v>
      </c>
      <c r="D133" s="13" t="s">
        <v>5</v>
      </c>
      <c r="E133" s="13" t="s">
        <v>21</v>
      </c>
      <c r="F133" s="13" t="s">
        <v>141</v>
      </c>
      <c r="G133" s="25"/>
      <c r="H133" s="13"/>
      <c r="I133" s="13"/>
      <c r="J133" s="13"/>
      <c r="K133" s="17">
        <f>K134</f>
        <v>0</v>
      </c>
      <c r="L133" s="17">
        <f>L134</f>
        <v>0</v>
      </c>
      <c r="M133" s="17"/>
    </row>
    <row r="134" spans="1:13" s="12" customFormat="1" x14ac:dyDescent="0.2">
      <c r="A134" s="85"/>
      <c r="B134" s="33" t="s">
        <v>64</v>
      </c>
      <c r="C134" s="42">
        <v>902</v>
      </c>
      <c r="D134" s="13" t="s">
        <v>5</v>
      </c>
      <c r="E134" s="13" t="s">
        <v>21</v>
      </c>
      <c r="F134" s="13" t="s">
        <v>141</v>
      </c>
      <c r="G134" s="25">
        <v>2</v>
      </c>
      <c r="H134" s="13"/>
      <c r="I134" s="13"/>
      <c r="J134" s="13"/>
      <c r="K134" s="17">
        <f>K137+K135</f>
        <v>0</v>
      </c>
      <c r="L134" s="17">
        <f>L137+L135</f>
        <v>0</v>
      </c>
      <c r="M134" s="17"/>
    </row>
    <row r="135" spans="1:13" s="12" customFormat="1" ht="31.5" x14ac:dyDescent="0.2">
      <c r="A135" s="85"/>
      <c r="B135" s="33" t="s">
        <v>83</v>
      </c>
      <c r="C135" s="42">
        <v>902</v>
      </c>
      <c r="D135" s="13" t="s">
        <v>5</v>
      </c>
      <c r="E135" s="13" t="s">
        <v>21</v>
      </c>
      <c r="F135" s="13" t="s">
        <v>141</v>
      </c>
      <c r="G135" s="13" t="s">
        <v>166</v>
      </c>
      <c r="H135" s="13" t="s">
        <v>102</v>
      </c>
      <c r="I135" s="13" t="s">
        <v>143</v>
      </c>
      <c r="J135" s="13"/>
      <c r="K135" s="17">
        <f>K136</f>
        <v>0</v>
      </c>
      <c r="L135" s="17">
        <f>L136</f>
        <v>0</v>
      </c>
      <c r="M135" s="17"/>
    </row>
    <row r="136" spans="1:13" s="12" customFormat="1" ht="31.5" x14ac:dyDescent="0.2">
      <c r="A136" s="85"/>
      <c r="B136" s="33" t="s">
        <v>175</v>
      </c>
      <c r="C136" s="42">
        <v>902</v>
      </c>
      <c r="D136" s="13" t="s">
        <v>5</v>
      </c>
      <c r="E136" s="13" t="s">
        <v>21</v>
      </c>
      <c r="F136" s="13" t="s">
        <v>141</v>
      </c>
      <c r="G136" s="13" t="s">
        <v>166</v>
      </c>
      <c r="H136" s="13" t="s">
        <v>102</v>
      </c>
      <c r="I136" s="13" t="s">
        <v>143</v>
      </c>
      <c r="J136" s="13" t="s">
        <v>58</v>
      </c>
      <c r="K136" s="17">
        <v>0</v>
      </c>
      <c r="L136" s="46">
        <v>0</v>
      </c>
      <c r="M136" s="17"/>
    </row>
    <row r="137" spans="1:13" s="12" customFormat="1" x14ac:dyDescent="0.2">
      <c r="A137" s="85"/>
      <c r="B137" s="33" t="s">
        <v>444</v>
      </c>
      <c r="C137" s="42">
        <v>902</v>
      </c>
      <c r="D137" s="13" t="s">
        <v>5</v>
      </c>
      <c r="E137" s="13" t="s">
        <v>21</v>
      </c>
      <c r="F137" s="13" t="s">
        <v>141</v>
      </c>
      <c r="G137" s="13" t="s">
        <v>166</v>
      </c>
      <c r="H137" s="13" t="s">
        <v>102</v>
      </c>
      <c r="I137" s="13" t="s">
        <v>347</v>
      </c>
      <c r="J137" s="13"/>
      <c r="K137" s="17">
        <f>SUM(K138)</f>
        <v>0</v>
      </c>
      <c r="L137" s="17">
        <f>SUM(L138)</f>
        <v>0</v>
      </c>
      <c r="M137" s="17"/>
    </row>
    <row r="138" spans="1:13" s="12" customFormat="1" ht="31.5" x14ac:dyDescent="0.2">
      <c r="A138" s="85"/>
      <c r="B138" s="33" t="s">
        <v>175</v>
      </c>
      <c r="C138" s="42">
        <v>902</v>
      </c>
      <c r="D138" s="13" t="s">
        <v>5</v>
      </c>
      <c r="E138" s="13" t="s">
        <v>21</v>
      </c>
      <c r="F138" s="13" t="s">
        <v>141</v>
      </c>
      <c r="G138" s="13" t="s">
        <v>166</v>
      </c>
      <c r="H138" s="13" t="s">
        <v>102</v>
      </c>
      <c r="I138" s="13" t="s">
        <v>347</v>
      </c>
      <c r="J138" s="13" t="s">
        <v>58</v>
      </c>
      <c r="K138" s="17">
        <v>0</v>
      </c>
      <c r="L138" s="17">
        <v>0</v>
      </c>
      <c r="M138" s="17"/>
    </row>
    <row r="139" spans="1:13" s="12" customFormat="1" ht="31.5" x14ac:dyDescent="0.2">
      <c r="A139" s="85"/>
      <c r="B139" s="33" t="s">
        <v>190</v>
      </c>
      <c r="C139" s="42">
        <v>902</v>
      </c>
      <c r="D139" s="13" t="s">
        <v>5</v>
      </c>
      <c r="E139" s="13" t="s">
        <v>10</v>
      </c>
      <c r="F139" s="13"/>
      <c r="G139" s="25"/>
      <c r="H139" s="13"/>
      <c r="I139" s="13"/>
      <c r="J139" s="13"/>
      <c r="K139" s="17">
        <f>K140</f>
        <v>1365.5</v>
      </c>
      <c r="L139" s="17">
        <f>L140</f>
        <v>101.1</v>
      </c>
      <c r="M139" s="17">
        <f t="shared" si="8"/>
        <v>7.403881362138411</v>
      </c>
    </row>
    <row r="140" spans="1:13" s="12" customFormat="1" ht="31.5" x14ac:dyDescent="0.2">
      <c r="A140" s="85"/>
      <c r="B140" s="54" t="s">
        <v>258</v>
      </c>
      <c r="C140" s="42">
        <v>902</v>
      </c>
      <c r="D140" s="13" t="s">
        <v>5</v>
      </c>
      <c r="E140" s="13" t="s">
        <v>10</v>
      </c>
      <c r="F140" s="13" t="s">
        <v>111</v>
      </c>
      <c r="G140" s="13"/>
      <c r="H140" s="13"/>
      <c r="I140" s="13"/>
      <c r="J140" s="13"/>
      <c r="K140" s="17">
        <f t="shared" ref="K140:L143" si="15">K141</f>
        <v>1365.5</v>
      </c>
      <c r="L140" s="17">
        <f t="shared" si="15"/>
        <v>101.1</v>
      </c>
      <c r="M140" s="17">
        <f t="shared" si="8"/>
        <v>7.403881362138411</v>
      </c>
    </row>
    <row r="141" spans="1:13" s="12" customFormat="1" ht="63" x14ac:dyDescent="0.2">
      <c r="A141" s="85"/>
      <c r="B141" s="54" t="s">
        <v>259</v>
      </c>
      <c r="C141" s="42">
        <v>902</v>
      </c>
      <c r="D141" s="13" t="s">
        <v>5</v>
      </c>
      <c r="E141" s="13" t="s">
        <v>10</v>
      </c>
      <c r="F141" s="13" t="s">
        <v>194</v>
      </c>
      <c r="G141" s="13" t="s">
        <v>166</v>
      </c>
      <c r="H141" s="13"/>
      <c r="I141" s="13"/>
      <c r="J141" s="26"/>
      <c r="K141" s="17">
        <f t="shared" si="15"/>
        <v>1365.5</v>
      </c>
      <c r="L141" s="17">
        <f t="shared" si="15"/>
        <v>101.1</v>
      </c>
      <c r="M141" s="17">
        <f t="shared" si="8"/>
        <v>7.403881362138411</v>
      </c>
    </row>
    <row r="142" spans="1:13" s="12" customFormat="1" ht="49.9" customHeight="1" x14ac:dyDescent="0.2">
      <c r="A142" s="85"/>
      <c r="B142" s="54" t="s">
        <v>191</v>
      </c>
      <c r="C142" s="42">
        <v>902</v>
      </c>
      <c r="D142" s="13" t="s">
        <v>5</v>
      </c>
      <c r="E142" s="13" t="s">
        <v>10</v>
      </c>
      <c r="F142" s="13" t="s">
        <v>111</v>
      </c>
      <c r="G142" s="13" t="s">
        <v>166</v>
      </c>
      <c r="H142" s="13" t="s">
        <v>2</v>
      </c>
      <c r="I142" s="13"/>
      <c r="J142" s="26"/>
      <c r="K142" s="17">
        <f t="shared" si="15"/>
        <v>1365.5</v>
      </c>
      <c r="L142" s="17">
        <f t="shared" si="15"/>
        <v>101.1</v>
      </c>
      <c r="M142" s="17">
        <f t="shared" si="8"/>
        <v>7.403881362138411</v>
      </c>
    </row>
    <row r="143" spans="1:13" s="12" customFormat="1" ht="35.450000000000003" customHeight="1" x14ac:dyDescent="0.2">
      <c r="A143" s="85"/>
      <c r="B143" s="54" t="s">
        <v>192</v>
      </c>
      <c r="C143" s="42">
        <v>902</v>
      </c>
      <c r="D143" s="13" t="s">
        <v>5</v>
      </c>
      <c r="E143" s="13" t="s">
        <v>10</v>
      </c>
      <c r="F143" s="13" t="s">
        <v>111</v>
      </c>
      <c r="G143" s="13" t="s">
        <v>166</v>
      </c>
      <c r="H143" s="13" t="s">
        <v>2</v>
      </c>
      <c r="I143" s="13" t="s">
        <v>195</v>
      </c>
      <c r="J143" s="26"/>
      <c r="K143" s="17">
        <f t="shared" si="15"/>
        <v>1365.5</v>
      </c>
      <c r="L143" s="17">
        <f t="shared" si="15"/>
        <v>101.1</v>
      </c>
      <c r="M143" s="17">
        <f t="shared" si="8"/>
        <v>7.403881362138411</v>
      </c>
    </row>
    <row r="144" spans="1:13" s="12" customFormat="1" ht="31.5" x14ac:dyDescent="0.2">
      <c r="A144" s="85"/>
      <c r="B144" s="33" t="s">
        <v>175</v>
      </c>
      <c r="C144" s="42">
        <v>902</v>
      </c>
      <c r="D144" s="13" t="s">
        <v>5</v>
      </c>
      <c r="E144" s="13" t="s">
        <v>10</v>
      </c>
      <c r="F144" s="13" t="s">
        <v>111</v>
      </c>
      <c r="G144" s="13" t="s">
        <v>166</v>
      </c>
      <c r="H144" s="13" t="s">
        <v>2</v>
      </c>
      <c r="I144" s="13" t="s">
        <v>195</v>
      </c>
      <c r="J144" s="26" t="s">
        <v>58</v>
      </c>
      <c r="K144" s="17">
        <f>115.5+50+300+60+840</f>
        <v>1365.5</v>
      </c>
      <c r="L144" s="17">
        <v>101.1</v>
      </c>
      <c r="M144" s="17">
        <f t="shared" si="8"/>
        <v>7.403881362138411</v>
      </c>
    </row>
    <row r="145" spans="1:13" s="12" customFormat="1" x14ac:dyDescent="0.2">
      <c r="A145" s="85"/>
      <c r="B145" s="33" t="s">
        <v>15</v>
      </c>
      <c r="C145" s="42">
        <v>902</v>
      </c>
      <c r="D145" s="13" t="s">
        <v>6</v>
      </c>
      <c r="E145" s="13"/>
      <c r="F145" s="13"/>
      <c r="G145" s="25"/>
      <c r="H145" s="13"/>
      <c r="I145" s="13"/>
      <c r="J145" s="13"/>
      <c r="K145" s="17">
        <f>SUM(K146+K158)</f>
        <v>41671.700000000004</v>
      </c>
      <c r="L145" s="17">
        <f>SUM(L146+L158)</f>
        <v>5391.1</v>
      </c>
      <c r="M145" s="17">
        <f t="shared" si="8"/>
        <v>12.937077201074111</v>
      </c>
    </row>
    <row r="146" spans="1:13" s="12" customFormat="1" x14ac:dyDescent="0.2">
      <c r="A146" s="85"/>
      <c r="B146" s="33" t="s">
        <v>16</v>
      </c>
      <c r="C146" s="42">
        <v>902</v>
      </c>
      <c r="D146" s="13" t="s">
        <v>6</v>
      </c>
      <c r="E146" s="13" t="s">
        <v>7</v>
      </c>
      <c r="F146" s="13"/>
      <c r="G146" s="25"/>
      <c r="H146" s="13"/>
      <c r="I146" s="13"/>
      <c r="J146" s="13"/>
      <c r="K146" s="17">
        <f t="shared" ref="K146:L146" si="16">SUM(K147)</f>
        <v>6343.4</v>
      </c>
      <c r="L146" s="17">
        <f t="shared" si="16"/>
        <v>55.5</v>
      </c>
      <c r="M146" s="17">
        <f t="shared" si="8"/>
        <v>0.87492511902134507</v>
      </c>
    </row>
    <row r="147" spans="1:13" s="12" customFormat="1" ht="52.15" customHeight="1" x14ac:dyDescent="0.2">
      <c r="A147" s="85"/>
      <c r="B147" s="50" t="s">
        <v>260</v>
      </c>
      <c r="C147" s="42">
        <v>902</v>
      </c>
      <c r="D147" s="13" t="s">
        <v>6</v>
      </c>
      <c r="E147" s="13" t="s">
        <v>7</v>
      </c>
      <c r="F147" s="13" t="s">
        <v>24</v>
      </c>
      <c r="G147" s="25"/>
      <c r="H147" s="13"/>
      <c r="I147" s="13"/>
      <c r="J147" s="13"/>
      <c r="K147" s="17">
        <f>SUM(K148)</f>
        <v>6343.4</v>
      </c>
      <c r="L147" s="17">
        <f>SUM(L148)</f>
        <v>55.5</v>
      </c>
      <c r="M147" s="17">
        <f t="shared" si="8"/>
        <v>0.87492511902134507</v>
      </c>
    </row>
    <row r="148" spans="1:13" s="12" customFormat="1" ht="64.900000000000006" customHeight="1" x14ac:dyDescent="0.2">
      <c r="A148" s="85"/>
      <c r="B148" s="50" t="s">
        <v>261</v>
      </c>
      <c r="C148" s="42">
        <v>902</v>
      </c>
      <c r="D148" s="13" t="s">
        <v>6</v>
      </c>
      <c r="E148" s="13" t="s">
        <v>7</v>
      </c>
      <c r="F148" s="13" t="s">
        <v>24</v>
      </c>
      <c r="G148" s="25">
        <v>1</v>
      </c>
      <c r="H148" s="13"/>
      <c r="I148" s="13"/>
      <c r="J148" s="13"/>
      <c r="K148" s="17">
        <f>SUM(K149+K152+K155)</f>
        <v>6343.4</v>
      </c>
      <c r="L148" s="17">
        <f>SUM(L149+L152+L155)</f>
        <v>55.5</v>
      </c>
      <c r="M148" s="17">
        <f t="shared" ref="M148:M211" si="17">L148/K148*100</f>
        <v>0.87492511902134507</v>
      </c>
    </row>
    <row r="149" spans="1:13" s="12" customFormat="1" ht="33" customHeight="1" x14ac:dyDescent="0.2">
      <c r="A149" s="85"/>
      <c r="B149" s="50" t="s">
        <v>381</v>
      </c>
      <c r="C149" s="42">
        <v>902</v>
      </c>
      <c r="D149" s="13" t="s">
        <v>6</v>
      </c>
      <c r="E149" s="13" t="s">
        <v>7</v>
      </c>
      <c r="F149" s="13" t="s">
        <v>24</v>
      </c>
      <c r="G149" s="13" t="s">
        <v>126</v>
      </c>
      <c r="H149" s="13" t="s">
        <v>2</v>
      </c>
      <c r="I149" s="13"/>
      <c r="J149" s="26"/>
      <c r="K149" s="17">
        <f>K150</f>
        <v>620.20000000000005</v>
      </c>
      <c r="L149" s="17">
        <f>L150</f>
        <v>55.5</v>
      </c>
      <c r="M149" s="17">
        <f t="shared" si="17"/>
        <v>8.9487262173492415</v>
      </c>
    </row>
    <row r="150" spans="1:13" s="12" customFormat="1" ht="62.45" customHeight="1" x14ac:dyDescent="0.2">
      <c r="A150" s="85"/>
      <c r="B150" s="50" t="s">
        <v>413</v>
      </c>
      <c r="C150" s="42">
        <v>902</v>
      </c>
      <c r="D150" s="13" t="s">
        <v>6</v>
      </c>
      <c r="E150" s="13" t="s">
        <v>7</v>
      </c>
      <c r="F150" s="13" t="s">
        <v>24</v>
      </c>
      <c r="G150" s="13" t="s">
        <v>126</v>
      </c>
      <c r="H150" s="13" t="s">
        <v>2</v>
      </c>
      <c r="I150" s="13" t="s">
        <v>382</v>
      </c>
      <c r="J150" s="26"/>
      <c r="K150" s="17">
        <f>K151</f>
        <v>620.20000000000005</v>
      </c>
      <c r="L150" s="17">
        <f>L151</f>
        <v>55.5</v>
      </c>
      <c r="M150" s="17">
        <f t="shared" si="17"/>
        <v>8.9487262173492415</v>
      </c>
    </row>
    <row r="151" spans="1:13" s="12" customFormat="1" ht="18.75" customHeight="1" x14ac:dyDescent="0.2">
      <c r="A151" s="85"/>
      <c r="B151" s="33" t="s">
        <v>60</v>
      </c>
      <c r="C151" s="42">
        <v>902</v>
      </c>
      <c r="D151" s="13" t="s">
        <v>6</v>
      </c>
      <c r="E151" s="13" t="s">
        <v>7</v>
      </c>
      <c r="F151" s="13" t="s">
        <v>24</v>
      </c>
      <c r="G151" s="13" t="s">
        <v>126</v>
      </c>
      <c r="H151" s="13" t="s">
        <v>2</v>
      </c>
      <c r="I151" s="13" t="s">
        <v>382</v>
      </c>
      <c r="J151" s="26" t="s">
        <v>61</v>
      </c>
      <c r="K151" s="17">
        <v>620.20000000000005</v>
      </c>
      <c r="L151" s="17">
        <v>55.5</v>
      </c>
      <c r="M151" s="17">
        <f t="shared" si="17"/>
        <v>8.9487262173492415</v>
      </c>
    </row>
    <row r="152" spans="1:13" s="12" customFormat="1" ht="31.5" x14ac:dyDescent="0.2">
      <c r="A152" s="85"/>
      <c r="B152" s="33" t="s">
        <v>119</v>
      </c>
      <c r="C152" s="42">
        <v>902</v>
      </c>
      <c r="D152" s="13" t="s">
        <v>6</v>
      </c>
      <c r="E152" s="13" t="s">
        <v>7</v>
      </c>
      <c r="F152" s="13" t="s">
        <v>24</v>
      </c>
      <c r="G152" s="25">
        <v>1</v>
      </c>
      <c r="H152" s="13" t="s">
        <v>5</v>
      </c>
      <c r="I152" s="13"/>
      <c r="J152" s="13"/>
      <c r="K152" s="17">
        <f t="shared" ref="K152:L153" si="18">SUM(K153)</f>
        <v>523.20000000000005</v>
      </c>
      <c r="L152" s="17">
        <f t="shared" si="18"/>
        <v>0</v>
      </c>
      <c r="M152" s="17">
        <f t="shared" si="17"/>
        <v>0</v>
      </c>
    </row>
    <row r="153" spans="1:13" s="12" customFormat="1" ht="51" customHeight="1" x14ac:dyDescent="0.2">
      <c r="A153" s="85"/>
      <c r="B153" s="52" t="s">
        <v>388</v>
      </c>
      <c r="C153" s="42">
        <v>902</v>
      </c>
      <c r="D153" s="13" t="s">
        <v>6</v>
      </c>
      <c r="E153" s="13" t="s">
        <v>7</v>
      </c>
      <c r="F153" s="13" t="s">
        <v>24</v>
      </c>
      <c r="G153" s="25">
        <v>1</v>
      </c>
      <c r="H153" s="13" t="s">
        <v>5</v>
      </c>
      <c r="I153" s="13" t="s">
        <v>110</v>
      </c>
      <c r="J153" s="13"/>
      <c r="K153" s="17">
        <f t="shared" si="18"/>
        <v>523.20000000000005</v>
      </c>
      <c r="L153" s="17">
        <f t="shared" si="18"/>
        <v>0</v>
      </c>
      <c r="M153" s="17">
        <f t="shared" si="17"/>
        <v>0</v>
      </c>
    </row>
    <row r="154" spans="1:13" s="12" customFormat="1" x14ac:dyDescent="0.2">
      <c r="A154" s="85"/>
      <c r="B154" s="33" t="s">
        <v>60</v>
      </c>
      <c r="C154" s="42">
        <v>902</v>
      </c>
      <c r="D154" s="13" t="s">
        <v>6</v>
      </c>
      <c r="E154" s="13" t="s">
        <v>7</v>
      </c>
      <c r="F154" s="13" t="s">
        <v>24</v>
      </c>
      <c r="G154" s="25">
        <v>1</v>
      </c>
      <c r="H154" s="13" t="s">
        <v>5</v>
      </c>
      <c r="I154" s="13" t="s">
        <v>110</v>
      </c>
      <c r="J154" s="13" t="s">
        <v>61</v>
      </c>
      <c r="K154" s="17">
        <v>523.20000000000005</v>
      </c>
      <c r="L154" s="17">
        <v>0</v>
      </c>
      <c r="M154" s="17">
        <f t="shared" si="17"/>
        <v>0</v>
      </c>
    </row>
    <row r="155" spans="1:13" s="12" customFormat="1" ht="33.6" customHeight="1" x14ac:dyDescent="0.2">
      <c r="A155" s="85"/>
      <c r="B155" s="33" t="s">
        <v>120</v>
      </c>
      <c r="C155" s="42">
        <v>902</v>
      </c>
      <c r="D155" s="13" t="s">
        <v>6</v>
      </c>
      <c r="E155" s="13" t="s">
        <v>7</v>
      </c>
      <c r="F155" s="13" t="s">
        <v>24</v>
      </c>
      <c r="G155" s="25">
        <v>1</v>
      </c>
      <c r="H155" s="13" t="s">
        <v>6</v>
      </c>
      <c r="I155" s="13"/>
      <c r="J155" s="13"/>
      <c r="K155" s="17">
        <f t="shared" ref="K155:L156" si="19">SUM(K156)</f>
        <v>5200</v>
      </c>
      <c r="L155" s="17">
        <f t="shared" si="19"/>
        <v>0</v>
      </c>
      <c r="M155" s="17">
        <f t="shared" si="17"/>
        <v>0</v>
      </c>
    </row>
    <row r="156" spans="1:13" s="12" customFormat="1" ht="115.15" customHeight="1" x14ac:dyDescent="0.2">
      <c r="A156" s="85"/>
      <c r="B156" s="51" t="s">
        <v>570</v>
      </c>
      <c r="C156" s="42">
        <v>902</v>
      </c>
      <c r="D156" s="13" t="s">
        <v>6</v>
      </c>
      <c r="E156" s="13" t="s">
        <v>7</v>
      </c>
      <c r="F156" s="13" t="s">
        <v>24</v>
      </c>
      <c r="G156" s="25">
        <v>1</v>
      </c>
      <c r="H156" s="13" t="s">
        <v>6</v>
      </c>
      <c r="I156" s="13" t="s">
        <v>121</v>
      </c>
      <c r="J156" s="13"/>
      <c r="K156" s="17">
        <f t="shared" si="19"/>
        <v>5200</v>
      </c>
      <c r="L156" s="17">
        <f t="shared" si="19"/>
        <v>0</v>
      </c>
      <c r="M156" s="17">
        <f t="shared" si="17"/>
        <v>0</v>
      </c>
    </row>
    <row r="157" spans="1:13" s="12" customFormat="1" ht="31.5" x14ac:dyDescent="0.2">
      <c r="A157" s="85"/>
      <c r="B157" s="33" t="s">
        <v>175</v>
      </c>
      <c r="C157" s="42">
        <v>902</v>
      </c>
      <c r="D157" s="13" t="s">
        <v>6</v>
      </c>
      <c r="E157" s="13" t="s">
        <v>7</v>
      </c>
      <c r="F157" s="13" t="s">
        <v>24</v>
      </c>
      <c r="G157" s="25">
        <v>1</v>
      </c>
      <c r="H157" s="13" t="s">
        <v>6</v>
      </c>
      <c r="I157" s="13" t="s">
        <v>121</v>
      </c>
      <c r="J157" s="13" t="s">
        <v>58</v>
      </c>
      <c r="K157" s="17">
        <f>2645.3+2554.7</f>
        <v>5200</v>
      </c>
      <c r="L157" s="17">
        <v>0</v>
      </c>
      <c r="M157" s="17">
        <f t="shared" si="17"/>
        <v>0</v>
      </c>
    </row>
    <row r="158" spans="1:13" s="12" customFormat="1" x14ac:dyDescent="0.2">
      <c r="A158" s="85"/>
      <c r="B158" s="33" t="s">
        <v>92</v>
      </c>
      <c r="C158" s="42">
        <v>902</v>
      </c>
      <c r="D158" s="13" t="s">
        <v>6</v>
      </c>
      <c r="E158" s="13" t="s">
        <v>93</v>
      </c>
      <c r="F158" s="13"/>
      <c r="G158" s="13"/>
      <c r="H158" s="13"/>
      <c r="I158" s="13"/>
      <c r="J158" s="13"/>
      <c r="K158" s="17">
        <f>SUM(K159+K176+K164)</f>
        <v>35328.300000000003</v>
      </c>
      <c r="L158" s="17">
        <f>SUM(L159+L176+L164)</f>
        <v>5335.6</v>
      </c>
      <c r="M158" s="17">
        <f t="shared" si="17"/>
        <v>15.102906168708937</v>
      </c>
    </row>
    <row r="159" spans="1:13" s="12" customFormat="1" ht="51" customHeight="1" x14ac:dyDescent="0.2">
      <c r="A159" s="85"/>
      <c r="B159" s="50" t="s">
        <v>253</v>
      </c>
      <c r="C159" s="42">
        <v>902</v>
      </c>
      <c r="D159" s="13" t="s">
        <v>6</v>
      </c>
      <c r="E159" s="13" t="s">
        <v>93</v>
      </c>
      <c r="F159" s="13" t="s">
        <v>8</v>
      </c>
      <c r="G159" s="13"/>
      <c r="H159" s="13"/>
      <c r="I159" s="13"/>
      <c r="J159" s="13"/>
      <c r="K159" s="17">
        <f t="shared" ref="K159:L162" si="20">SUM(K160)</f>
        <v>16652.399999999998</v>
      </c>
      <c r="L159" s="17">
        <f t="shared" si="20"/>
        <v>4638.1000000000004</v>
      </c>
      <c r="M159" s="17">
        <f t="shared" si="17"/>
        <v>27.852441690086721</v>
      </c>
    </row>
    <row r="160" spans="1:13" s="12" customFormat="1" ht="48.6" customHeight="1" x14ac:dyDescent="0.2">
      <c r="A160" s="85"/>
      <c r="B160" s="50" t="s">
        <v>254</v>
      </c>
      <c r="C160" s="42">
        <v>902</v>
      </c>
      <c r="D160" s="13" t="s">
        <v>6</v>
      </c>
      <c r="E160" s="13" t="s">
        <v>93</v>
      </c>
      <c r="F160" s="13" t="s">
        <v>8</v>
      </c>
      <c r="G160" s="13" t="s">
        <v>126</v>
      </c>
      <c r="H160" s="13"/>
      <c r="I160" s="13"/>
      <c r="J160" s="13"/>
      <c r="K160" s="17">
        <f t="shared" si="20"/>
        <v>16652.399999999998</v>
      </c>
      <c r="L160" s="17">
        <f t="shared" si="20"/>
        <v>4638.1000000000004</v>
      </c>
      <c r="M160" s="17">
        <f t="shared" si="17"/>
        <v>27.852441690086721</v>
      </c>
    </row>
    <row r="161" spans="1:13" s="12" customFormat="1" ht="34.15" customHeight="1" x14ac:dyDescent="0.2">
      <c r="A161" s="85"/>
      <c r="B161" s="50" t="s">
        <v>127</v>
      </c>
      <c r="C161" s="42">
        <v>902</v>
      </c>
      <c r="D161" s="13" t="s">
        <v>6</v>
      </c>
      <c r="E161" s="13" t="s">
        <v>93</v>
      </c>
      <c r="F161" s="13" t="s">
        <v>8</v>
      </c>
      <c r="G161" s="13" t="s">
        <v>126</v>
      </c>
      <c r="H161" s="13" t="s">
        <v>4</v>
      </c>
      <c r="I161" s="13"/>
      <c r="J161" s="13"/>
      <c r="K161" s="17">
        <f t="shared" si="20"/>
        <v>16652.399999999998</v>
      </c>
      <c r="L161" s="17">
        <f t="shared" si="20"/>
        <v>4638.1000000000004</v>
      </c>
      <c r="M161" s="17">
        <f t="shared" si="17"/>
        <v>27.852441690086721</v>
      </c>
    </row>
    <row r="162" spans="1:13" s="12" customFormat="1" ht="31.5" x14ac:dyDescent="0.2">
      <c r="A162" s="85"/>
      <c r="B162" s="55" t="s">
        <v>463</v>
      </c>
      <c r="C162" s="42">
        <v>902</v>
      </c>
      <c r="D162" s="13" t="s">
        <v>6</v>
      </c>
      <c r="E162" s="13" t="s">
        <v>93</v>
      </c>
      <c r="F162" s="13" t="s">
        <v>8</v>
      </c>
      <c r="G162" s="13" t="s">
        <v>126</v>
      </c>
      <c r="H162" s="13" t="s">
        <v>4</v>
      </c>
      <c r="I162" s="13" t="s">
        <v>462</v>
      </c>
      <c r="J162" s="13"/>
      <c r="K162" s="17">
        <f t="shared" si="20"/>
        <v>16652.399999999998</v>
      </c>
      <c r="L162" s="17">
        <f t="shared" si="20"/>
        <v>4638.1000000000004</v>
      </c>
      <c r="M162" s="17">
        <f t="shared" si="17"/>
        <v>27.852441690086721</v>
      </c>
    </row>
    <row r="163" spans="1:13" s="12" customFormat="1" ht="31.5" x14ac:dyDescent="0.2">
      <c r="A163" s="85"/>
      <c r="B163" s="33" t="s">
        <v>175</v>
      </c>
      <c r="C163" s="42">
        <v>902</v>
      </c>
      <c r="D163" s="13" t="s">
        <v>6</v>
      </c>
      <c r="E163" s="13" t="s">
        <v>93</v>
      </c>
      <c r="F163" s="13" t="s">
        <v>8</v>
      </c>
      <c r="G163" s="13" t="s">
        <v>126</v>
      </c>
      <c r="H163" s="13" t="s">
        <v>4</v>
      </c>
      <c r="I163" s="13" t="s">
        <v>462</v>
      </c>
      <c r="J163" s="13" t="s">
        <v>58</v>
      </c>
      <c r="K163" s="17">
        <f>10630-2565.4+2751.4+102.6+405.8+5311.4+16.6</f>
        <v>16652.399999999998</v>
      </c>
      <c r="L163" s="17">
        <v>4638.1000000000004</v>
      </c>
      <c r="M163" s="17">
        <f t="shared" si="17"/>
        <v>27.852441690086721</v>
      </c>
    </row>
    <row r="164" spans="1:13" s="12" customFormat="1" ht="34.9" customHeight="1" x14ac:dyDescent="0.2">
      <c r="A164" s="85"/>
      <c r="B164" s="50" t="s">
        <v>279</v>
      </c>
      <c r="C164" s="42">
        <v>902</v>
      </c>
      <c r="D164" s="13" t="s">
        <v>6</v>
      </c>
      <c r="E164" s="13" t="s">
        <v>93</v>
      </c>
      <c r="F164" s="13" t="s">
        <v>128</v>
      </c>
      <c r="G164" s="13"/>
      <c r="H164" s="13"/>
      <c r="I164" s="13"/>
      <c r="J164" s="26"/>
      <c r="K164" s="17">
        <f>K165+K169</f>
        <v>17222</v>
      </c>
      <c r="L164" s="17">
        <f>L165+L169</f>
        <v>0</v>
      </c>
      <c r="M164" s="17">
        <f t="shared" si="17"/>
        <v>0</v>
      </c>
    </row>
    <row r="165" spans="1:13" s="12" customFormat="1" ht="62.45" customHeight="1" x14ac:dyDescent="0.2">
      <c r="A165" s="85"/>
      <c r="B165" s="50" t="s">
        <v>129</v>
      </c>
      <c r="C165" s="42">
        <v>902</v>
      </c>
      <c r="D165" s="13" t="s">
        <v>6</v>
      </c>
      <c r="E165" s="13" t="s">
        <v>93</v>
      </c>
      <c r="F165" s="26" t="s">
        <v>128</v>
      </c>
      <c r="G165" s="42">
        <v>1</v>
      </c>
      <c r="H165" s="13"/>
      <c r="I165" s="13"/>
      <c r="J165" s="26"/>
      <c r="K165" s="17">
        <f t="shared" ref="K165:L167" si="21">K166</f>
        <v>0</v>
      </c>
      <c r="L165" s="17">
        <f t="shared" si="21"/>
        <v>0</v>
      </c>
      <c r="M165" s="17"/>
    </row>
    <row r="166" spans="1:13" s="12" customFormat="1" ht="31.5" x14ac:dyDescent="0.2">
      <c r="A166" s="85"/>
      <c r="B166" s="33" t="s">
        <v>223</v>
      </c>
      <c r="C166" s="42">
        <v>902</v>
      </c>
      <c r="D166" s="13" t="s">
        <v>6</v>
      </c>
      <c r="E166" s="13" t="s">
        <v>93</v>
      </c>
      <c r="F166" s="26" t="s">
        <v>128</v>
      </c>
      <c r="G166" s="42">
        <v>1</v>
      </c>
      <c r="H166" s="26" t="s">
        <v>5</v>
      </c>
      <c r="I166" s="26"/>
      <c r="J166" s="26"/>
      <c r="K166" s="17">
        <f t="shared" si="21"/>
        <v>0</v>
      </c>
      <c r="L166" s="17">
        <f t="shared" si="21"/>
        <v>0</v>
      </c>
      <c r="M166" s="17"/>
    </row>
    <row r="167" spans="1:13" s="12" customFormat="1" ht="31.5" x14ac:dyDescent="0.2">
      <c r="A167" s="85"/>
      <c r="B167" s="33" t="s">
        <v>281</v>
      </c>
      <c r="C167" s="42">
        <v>902</v>
      </c>
      <c r="D167" s="13" t="s">
        <v>6</v>
      </c>
      <c r="E167" s="13" t="s">
        <v>93</v>
      </c>
      <c r="F167" s="26" t="s">
        <v>128</v>
      </c>
      <c r="G167" s="42">
        <v>1</v>
      </c>
      <c r="H167" s="26" t="s">
        <v>5</v>
      </c>
      <c r="I167" s="26" t="s">
        <v>224</v>
      </c>
      <c r="J167" s="26"/>
      <c r="K167" s="17">
        <f t="shared" si="21"/>
        <v>0</v>
      </c>
      <c r="L167" s="17">
        <f t="shared" si="21"/>
        <v>0</v>
      </c>
      <c r="M167" s="17"/>
    </row>
    <row r="168" spans="1:13" s="12" customFormat="1" ht="31.5" x14ac:dyDescent="0.2">
      <c r="A168" s="85"/>
      <c r="B168" s="33" t="s">
        <v>175</v>
      </c>
      <c r="C168" s="42">
        <v>902</v>
      </c>
      <c r="D168" s="13" t="s">
        <v>6</v>
      </c>
      <c r="E168" s="13" t="s">
        <v>93</v>
      </c>
      <c r="F168" s="26" t="s">
        <v>128</v>
      </c>
      <c r="G168" s="42">
        <v>1</v>
      </c>
      <c r="H168" s="26" t="s">
        <v>5</v>
      </c>
      <c r="I168" s="26" t="s">
        <v>224</v>
      </c>
      <c r="J168" s="26" t="s">
        <v>58</v>
      </c>
      <c r="K168" s="17">
        <v>0</v>
      </c>
      <c r="L168" s="17">
        <v>0</v>
      </c>
      <c r="M168" s="17"/>
    </row>
    <row r="169" spans="1:13" s="12" customFormat="1" x14ac:dyDescent="0.2">
      <c r="A169" s="85"/>
      <c r="B169" s="33" t="s">
        <v>377</v>
      </c>
      <c r="C169" s="42">
        <v>902</v>
      </c>
      <c r="D169" s="13" t="s">
        <v>6</v>
      </c>
      <c r="E169" s="13" t="s">
        <v>93</v>
      </c>
      <c r="F169" s="13" t="s">
        <v>128</v>
      </c>
      <c r="G169" s="13" t="s">
        <v>133</v>
      </c>
      <c r="H169" s="13"/>
      <c r="I169" s="26"/>
      <c r="J169" s="26"/>
      <c r="K169" s="17">
        <f>K173+K170</f>
        <v>17222</v>
      </c>
      <c r="L169" s="17">
        <f>L173+L170</f>
        <v>0</v>
      </c>
      <c r="M169" s="17">
        <f t="shared" si="17"/>
        <v>0</v>
      </c>
    </row>
    <row r="170" spans="1:13" s="12" customFormat="1" ht="48" customHeight="1" x14ac:dyDescent="0.2">
      <c r="A170" s="85"/>
      <c r="B170" s="33" t="s">
        <v>378</v>
      </c>
      <c r="C170" s="42">
        <v>902</v>
      </c>
      <c r="D170" s="13" t="s">
        <v>6</v>
      </c>
      <c r="E170" s="13" t="s">
        <v>93</v>
      </c>
      <c r="F170" s="13" t="s">
        <v>128</v>
      </c>
      <c r="G170" s="13" t="s">
        <v>133</v>
      </c>
      <c r="H170" s="13" t="s">
        <v>2</v>
      </c>
      <c r="I170" s="26"/>
      <c r="J170" s="26"/>
      <c r="K170" s="17">
        <f>K171</f>
        <v>17222</v>
      </c>
      <c r="L170" s="17">
        <f>L171</f>
        <v>0</v>
      </c>
      <c r="M170" s="17">
        <f t="shared" si="17"/>
        <v>0</v>
      </c>
    </row>
    <row r="171" spans="1:13" s="12" customFormat="1" ht="48.6" customHeight="1" x14ac:dyDescent="0.2">
      <c r="A171" s="85"/>
      <c r="B171" s="33" t="s">
        <v>519</v>
      </c>
      <c r="C171" s="42">
        <v>902</v>
      </c>
      <c r="D171" s="13" t="s">
        <v>6</v>
      </c>
      <c r="E171" s="13" t="s">
        <v>93</v>
      </c>
      <c r="F171" s="13" t="s">
        <v>128</v>
      </c>
      <c r="G171" s="13" t="s">
        <v>133</v>
      </c>
      <c r="H171" s="13" t="s">
        <v>2</v>
      </c>
      <c r="I171" s="13" t="s">
        <v>520</v>
      </c>
      <c r="J171" s="26"/>
      <c r="K171" s="17">
        <f>K172</f>
        <v>17222</v>
      </c>
      <c r="L171" s="17">
        <f>L172</f>
        <v>0</v>
      </c>
      <c r="M171" s="17">
        <f t="shared" si="17"/>
        <v>0</v>
      </c>
    </row>
    <row r="172" spans="1:13" s="12" customFormat="1" ht="31.5" x14ac:dyDescent="0.2">
      <c r="A172" s="85"/>
      <c r="B172" s="33" t="s">
        <v>175</v>
      </c>
      <c r="C172" s="42">
        <v>902</v>
      </c>
      <c r="D172" s="13" t="s">
        <v>6</v>
      </c>
      <c r="E172" s="13" t="s">
        <v>93</v>
      </c>
      <c r="F172" s="13" t="s">
        <v>128</v>
      </c>
      <c r="G172" s="13" t="s">
        <v>133</v>
      </c>
      <c r="H172" s="13" t="s">
        <v>2</v>
      </c>
      <c r="I172" s="13" t="s">
        <v>520</v>
      </c>
      <c r="J172" s="26" t="s">
        <v>58</v>
      </c>
      <c r="K172" s="17">
        <f>10989.4+701.4+5531.2</f>
        <v>17222</v>
      </c>
      <c r="L172" s="17">
        <v>0</v>
      </c>
      <c r="M172" s="17">
        <f t="shared" si="17"/>
        <v>0</v>
      </c>
    </row>
    <row r="173" spans="1:13" s="12" customFormat="1" ht="47.25" x14ac:dyDescent="0.2">
      <c r="A173" s="85"/>
      <c r="B173" s="56" t="s">
        <v>481</v>
      </c>
      <c r="C173" s="42">
        <v>902</v>
      </c>
      <c r="D173" s="13" t="s">
        <v>6</v>
      </c>
      <c r="E173" s="13" t="s">
        <v>93</v>
      </c>
      <c r="F173" s="13" t="s">
        <v>128</v>
      </c>
      <c r="G173" s="13" t="s">
        <v>133</v>
      </c>
      <c r="H173" s="13" t="s">
        <v>5</v>
      </c>
      <c r="I173" s="13"/>
      <c r="J173" s="26"/>
      <c r="K173" s="17">
        <f>K174</f>
        <v>0</v>
      </c>
      <c r="L173" s="17">
        <f>L174</f>
        <v>0</v>
      </c>
      <c r="M173" s="17"/>
    </row>
    <row r="174" spans="1:13" s="12" customFormat="1" ht="66" customHeight="1" x14ac:dyDescent="0.2">
      <c r="A174" s="85"/>
      <c r="B174" s="56" t="s">
        <v>571</v>
      </c>
      <c r="C174" s="42">
        <v>902</v>
      </c>
      <c r="D174" s="13" t="s">
        <v>6</v>
      </c>
      <c r="E174" s="13" t="s">
        <v>93</v>
      </c>
      <c r="F174" s="13" t="s">
        <v>128</v>
      </c>
      <c r="G174" s="13" t="s">
        <v>133</v>
      </c>
      <c r="H174" s="13" t="s">
        <v>5</v>
      </c>
      <c r="I174" s="13" t="s">
        <v>480</v>
      </c>
      <c r="J174" s="26"/>
      <c r="K174" s="17">
        <f>K175</f>
        <v>0</v>
      </c>
      <c r="L174" s="17">
        <f>L175</f>
        <v>0</v>
      </c>
      <c r="M174" s="17"/>
    </row>
    <row r="175" spans="1:13" s="12" customFormat="1" x14ac:dyDescent="0.2">
      <c r="A175" s="85"/>
      <c r="B175" s="56" t="s">
        <v>60</v>
      </c>
      <c r="C175" s="42">
        <v>902</v>
      </c>
      <c r="D175" s="13" t="s">
        <v>6</v>
      </c>
      <c r="E175" s="13" t="s">
        <v>93</v>
      </c>
      <c r="F175" s="13" t="s">
        <v>128</v>
      </c>
      <c r="G175" s="13" t="s">
        <v>133</v>
      </c>
      <c r="H175" s="13" t="s">
        <v>5</v>
      </c>
      <c r="I175" s="13" t="s">
        <v>480</v>
      </c>
      <c r="J175" s="26" t="s">
        <v>61</v>
      </c>
      <c r="K175" s="17">
        <v>0</v>
      </c>
      <c r="L175" s="17">
        <v>0</v>
      </c>
      <c r="M175" s="17"/>
    </row>
    <row r="176" spans="1:13" s="12" customFormat="1" ht="31.9" customHeight="1" x14ac:dyDescent="0.2">
      <c r="A176" s="85"/>
      <c r="B176" s="50" t="s">
        <v>262</v>
      </c>
      <c r="C176" s="42">
        <v>902</v>
      </c>
      <c r="D176" s="26" t="s">
        <v>6</v>
      </c>
      <c r="E176" s="26" t="s">
        <v>93</v>
      </c>
      <c r="F176" s="26" t="s">
        <v>122</v>
      </c>
      <c r="G176" s="42"/>
      <c r="H176" s="26"/>
      <c r="I176" s="26"/>
      <c r="J176" s="26"/>
      <c r="K176" s="17">
        <f>SUM(K177+K181)</f>
        <v>1453.9</v>
      </c>
      <c r="L176" s="17">
        <f>SUM(L177+L181)</f>
        <v>697.5</v>
      </c>
      <c r="M176" s="17">
        <f t="shared" si="17"/>
        <v>47.974413646055439</v>
      </c>
    </row>
    <row r="177" spans="1:13" s="12" customFormat="1" ht="48" customHeight="1" x14ac:dyDescent="0.2">
      <c r="A177" s="85"/>
      <c r="B177" s="50" t="s">
        <v>263</v>
      </c>
      <c r="C177" s="42">
        <v>902</v>
      </c>
      <c r="D177" s="26" t="s">
        <v>6</v>
      </c>
      <c r="E177" s="26" t="s">
        <v>93</v>
      </c>
      <c r="F177" s="26" t="s">
        <v>122</v>
      </c>
      <c r="G177" s="42">
        <v>1</v>
      </c>
      <c r="H177" s="26" t="s">
        <v>102</v>
      </c>
      <c r="I177" s="26"/>
      <c r="J177" s="26"/>
      <c r="K177" s="17">
        <f t="shared" ref="K177:L178" si="22">SUM(K178)</f>
        <v>736.1</v>
      </c>
      <c r="L177" s="17">
        <f t="shared" si="22"/>
        <v>457.5</v>
      </c>
      <c r="M177" s="17">
        <f t="shared" si="17"/>
        <v>62.151881537834527</v>
      </c>
    </row>
    <row r="178" spans="1:13" s="12" customFormat="1" ht="49.15" customHeight="1" x14ac:dyDescent="0.2">
      <c r="A178" s="85"/>
      <c r="B178" s="50" t="s">
        <v>130</v>
      </c>
      <c r="C178" s="42">
        <v>902</v>
      </c>
      <c r="D178" s="26" t="s">
        <v>6</v>
      </c>
      <c r="E178" s="26" t="s">
        <v>93</v>
      </c>
      <c r="F178" s="26" t="s">
        <v>122</v>
      </c>
      <c r="G178" s="42">
        <v>1</v>
      </c>
      <c r="H178" s="26" t="s">
        <v>2</v>
      </c>
      <c r="I178" s="26"/>
      <c r="J178" s="26"/>
      <c r="K178" s="17">
        <f t="shared" si="22"/>
        <v>736.1</v>
      </c>
      <c r="L178" s="17">
        <f t="shared" si="22"/>
        <v>457.5</v>
      </c>
      <c r="M178" s="17">
        <f t="shared" si="17"/>
        <v>62.151881537834527</v>
      </c>
    </row>
    <row r="179" spans="1:13" s="12" customFormat="1" ht="78.599999999999994" customHeight="1" x14ac:dyDescent="0.2">
      <c r="A179" s="85"/>
      <c r="B179" s="50" t="s">
        <v>264</v>
      </c>
      <c r="C179" s="42">
        <v>902</v>
      </c>
      <c r="D179" s="26" t="s">
        <v>6</v>
      </c>
      <c r="E179" s="26" t="s">
        <v>93</v>
      </c>
      <c r="F179" s="26" t="s">
        <v>122</v>
      </c>
      <c r="G179" s="42">
        <v>1</v>
      </c>
      <c r="H179" s="26" t="s">
        <v>2</v>
      </c>
      <c r="I179" s="26" t="s">
        <v>131</v>
      </c>
      <c r="J179" s="26"/>
      <c r="K179" s="17">
        <f>K180</f>
        <v>736.1</v>
      </c>
      <c r="L179" s="17">
        <f>L180</f>
        <v>457.5</v>
      </c>
      <c r="M179" s="17">
        <f t="shared" si="17"/>
        <v>62.151881537834527</v>
      </c>
    </row>
    <row r="180" spans="1:13" s="12" customFormat="1" ht="31.5" x14ac:dyDescent="0.2">
      <c r="A180" s="85"/>
      <c r="B180" s="33" t="s">
        <v>175</v>
      </c>
      <c r="C180" s="42">
        <v>902</v>
      </c>
      <c r="D180" s="26" t="s">
        <v>6</v>
      </c>
      <c r="E180" s="26" t="s">
        <v>93</v>
      </c>
      <c r="F180" s="26" t="s">
        <v>122</v>
      </c>
      <c r="G180" s="42">
        <v>1</v>
      </c>
      <c r="H180" s="26" t="s">
        <v>2</v>
      </c>
      <c r="I180" s="26" t="s">
        <v>131</v>
      </c>
      <c r="J180" s="26" t="s">
        <v>58</v>
      </c>
      <c r="K180" s="17">
        <v>736.1</v>
      </c>
      <c r="L180" s="17">
        <v>457.5</v>
      </c>
      <c r="M180" s="17">
        <f t="shared" si="17"/>
        <v>62.151881537834527</v>
      </c>
    </row>
    <row r="181" spans="1:13" s="12" customFormat="1" ht="47.45" customHeight="1" x14ac:dyDescent="0.2">
      <c r="A181" s="85"/>
      <c r="B181" s="33" t="s">
        <v>414</v>
      </c>
      <c r="C181" s="42">
        <v>902</v>
      </c>
      <c r="D181" s="26" t="s">
        <v>6</v>
      </c>
      <c r="E181" s="26" t="s">
        <v>93</v>
      </c>
      <c r="F181" s="13" t="s">
        <v>122</v>
      </c>
      <c r="G181" s="13" t="s">
        <v>204</v>
      </c>
      <c r="H181" s="13"/>
      <c r="I181" s="13"/>
      <c r="J181" s="26"/>
      <c r="K181" s="17">
        <f t="shared" ref="K181:L183" si="23">K182</f>
        <v>717.80000000000007</v>
      </c>
      <c r="L181" s="17">
        <f t="shared" si="23"/>
        <v>240</v>
      </c>
      <c r="M181" s="17">
        <f t="shared" si="17"/>
        <v>33.435497353023123</v>
      </c>
    </row>
    <row r="182" spans="1:13" s="12" customFormat="1" ht="31.5" x14ac:dyDescent="0.2">
      <c r="A182" s="85"/>
      <c r="B182" s="33" t="s">
        <v>376</v>
      </c>
      <c r="C182" s="42">
        <v>902</v>
      </c>
      <c r="D182" s="26" t="s">
        <v>6</v>
      </c>
      <c r="E182" s="26" t="s">
        <v>93</v>
      </c>
      <c r="F182" s="13" t="s">
        <v>122</v>
      </c>
      <c r="G182" s="13" t="s">
        <v>204</v>
      </c>
      <c r="H182" s="13" t="s">
        <v>2</v>
      </c>
      <c r="I182" s="13"/>
      <c r="J182" s="26"/>
      <c r="K182" s="17">
        <f t="shared" si="23"/>
        <v>717.80000000000007</v>
      </c>
      <c r="L182" s="17">
        <f t="shared" si="23"/>
        <v>240</v>
      </c>
      <c r="M182" s="17">
        <f t="shared" si="17"/>
        <v>33.435497353023123</v>
      </c>
    </row>
    <row r="183" spans="1:13" s="12" customFormat="1" ht="47.25" x14ac:dyDescent="0.2">
      <c r="A183" s="85"/>
      <c r="B183" s="33" t="s">
        <v>415</v>
      </c>
      <c r="C183" s="42">
        <v>902</v>
      </c>
      <c r="D183" s="26" t="s">
        <v>6</v>
      </c>
      <c r="E183" s="26" t="s">
        <v>93</v>
      </c>
      <c r="F183" s="13" t="s">
        <v>122</v>
      </c>
      <c r="G183" s="13" t="s">
        <v>204</v>
      </c>
      <c r="H183" s="13" t="s">
        <v>2</v>
      </c>
      <c r="I183" s="13" t="s">
        <v>375</v>
      </c>
      <c r="J183" s="26"/>
      <c r="K183" s="17">
        <f t="shared" si="23"/>
        <v>717.80000000000007</v>
      </c>
      <c r="L183" s="17">
        <f t="shared" si="23"/>
        <v>240</v>
      </c>
      <c r="M183" s="17">
        <f t="shared" si="17"/>
        <v>33.435497353023123</v>
      </c>
    </row>
    <row r="184" spans="1:13" s="12" customFormat="1" ht="31.5" x14ac:dyDescent="0.2">
      <c r="A184" s="85"/>
      <c r="B184" s="33" t="s">
        <v>175</v>
      </c>
      <c r="C184" s="42">
        <v>902</v>
      </c>
      <c r="D184" s="26" t="s">
        <v>6</v>
      </c>
      <c r="E184" s="26" t="s">
        <v>93</v>
      </c>
      <c r="F184" s="13" t="s">
        <v>122</v>
      </c>
      <c r="G184" s="13" t="s">
        <v>204</v>
      </c>
      <c r="H184" s="13" t="s">
        <v>2</v>
      </c>
      <c r="I184" s="13" t="s">
        <v>375</v>
      </c>
      <c r="J184" s="26" t="s">
        <v>58</v>
      </c>
      <c r="K184" s="17">
        <f>700.6+17+0.2</f>
        <v>717.80000000000007</v>
      </c>
      <c r="L184" s="17">
        <v>240</v>
      </c>
      <c r="M184" s="17">
        <f t="shared" si="17"/>
        <v>33.435497353023123</v>
      </c>
    </row>
    <row r="185" spans="1:13" s="12" customFormat="1" x14ac:dyDescent="0.2">
      <c r="A185" s="85"/>
      <c r="B185" s="33" t="s">
        <v>18</v>
      </c>
      <c r="C185" s="42">
        <v>902</v>
      </c>
      <c r="D185" s="26" t="s">
        <v>8</v>
      </c>
      <c r="E185" s="26"/>
      <c r="F185" s="13"/>
      <c r="G185" s="13"/>
      <c r="H185" s="13"/>
      <c r="I185" s="13"/>
      <c r="J185" s="26"/>
      <c r="K185" s="17">
        <f t="shared" ref="K185:L190" si="24">K186</f>
        <v>160.9</v>
      </c>
      <c r="L185" s="17">
        <f t="shared" si="24"/>
        <v>71.400000000000006</v>
      </c>
      <c r="M185" s="17">
        <f t="shared" si="17"/>
        <v>44.375388440024857</v>
      </c>
    </row>
    <row r="186" spans="1:13" s="12" customFormat="1" ht="31.9" customHeight="1" x14ac:dyDescent="0.2">
      <c r="A186" s="85"/>
      <c r="B186" s="33" t="s">
        <v>457</v>
      </c>
      <c r="C186" s="42">
        <v>902</v>
      </c>
      <c r="D186" s="26" t="s">
        <v>8</v>
      </c>
      <c r="E186" s="26" t="s">
        <v>7</v>
      </c>
      <c r="F186" s="13"/>
      <c r="G186" s="13"/>
      <c r="H186" s="13"/>
      <c r="I186" s="13"/>
      <c r="J186" s="26"/>
      <c r="K186" s="17">
        <f t="shared" si="24"/>
        <v>160.9</v>
      </c>
      <c r="L186" s="17">
        <f t="shared" si="24"/>
        <v>71.400000000000006</v>
      </c>
      <c r="M186" s="17">
        <f t="shared" si="17"/>
        <v>44.375388440024857</v>
      </c>
    </row>
    <row r="187" spans="1:13" s="12" customFormat="1" ht="48" customHeight="1" x14ac:dyDescent="0.2">
      <c r="A187" s="85"/>
      <c r="B187" s="33" t="s">
        <v>253</v>
      </c>
      <c r="C187" s="42">
        <v>902</v>
      </c>
      <c r="D187" s="26" t="s">
        <v>8</v>
      </c>
      <c r="E187" s="26" t="s">
        <v>7</v>
      </c>
      <c r="F187" s="13" t="s">
        <v>8</v>
      </c>
      <c r="G187" s="13"/>
      <c r="H187" s="13"/>
      <c r="I187" s="13"/>
      <c r="J187" s="26"/>
      <c r="K187" s="17">
        <f t="shared" si="24"/>
        <v>160.9</v>
      </c>
      <c r="L187" s="17">
        <f t="shared" si="24"/>
        <v>71.400000000000006</v>
      </c>
      <c r="M187" s="17">
        <f t="shared" si="17"/>
        <v>44.375388440024857</v>
      </c>
    </row>
    <row r="188" spans="1:13" s="12" customFormat="1" ht="48" customHeight="1" x14ac:dyDescent="0.2">
      <c r="A188" s="85"/>
      <c r="B188" s="33" t="s">
        <v>254</v>
      </c>
      <c r="C188" s="42">
        <v>902</v>
      </c>
      <c r="D188" s="26" t="s">
        <v>8</v>
      </c>
      <c r="E188" s="26" t="s">
        <v>7</v>
      </c>
      <c r="F188" s="13" t="s">
        <v>8</v>
      </c>
      <c r="G188" s="13" t="s">
        <v>126</v>
      </c>
      <c r="H188" s="13"/>
      <c r="I188" s="13"/>
      <c r="J188" s="26"/>
      <c r="K188" s="17">
        <f t="shared" si="24"/>
        <v>160.9</v>
      </c>
      <c r="L188" s="17">
        <f t="shared" si="24"/>
        <v>71.400000000000006</v>
      </c>
      <c r="M188" s="17">
        <f t="shared" si="17"/>
        <v>44.375388440024857</v>
      </c>
    </row>
    <row r="189" spans="1:13" s="12" customFormat="1" ht="31.5" x14ac:dyDescent="0.2">
      <c r="A189" s="85"/>
      <c r="B189" s="33" t="s">
        <v>127</v>
      </c>
      <c r="C189" s="42">
        <v>902</v>
      </c>
      <c r="D189" s="26" t="s">
        <v>8</v>
      </c>
      <c r="E189" s="26" t="s">
        <v>7</v>
      </c>
      <c r="F189" s="13" t="s">
        <v>8</v>
      </c>
      <c r="G189" s="13" t="s">
        <v>126</v>
      </c>
      <c r="H189" s="13" t="s">
        <v>4</v>
      </c>
      <c r="I189" s="13"/>
      <c r="J189" s="26"/>
      <c r="K189" s="17">
        <f t="shared" si="24"/>
        <v>160.9</v>
      </c>
      <c r="L189" s="17">
        <f t="shared" si="24"/>
        <v>71.400000000000006</v>
      </c>
      <c r="M189" s="17">
        <f t="shared" si="17"/>
        <v>44.375388440024857</v>
      </c>
    </row>
    <row r="190" spans="1:13" s="12" customFormat="1" ht="21.6" customHeight="1" x14ac:dyDescent="0.2">
      <c r="A190" s="85"/>
      <c r="B190" s="33" t="s">
        <v>459</v>
      </c>
      <c r="C190" s="42">
        <v>902</v>
      </c>
      <c r="D190" s="26" t="s">
        <v>8</v>
      </c>
      <c r="E190" s="26" t="s">
        <v>7</v>
      </c>
      <c r="F190" s="13" t="s">
        <v>8</v>
      </c>
      <c r="G190" s="13" t="s">
        <v>126</v>
      </c>
      <c r="H190" s="13" t="s">
        <v>4</v>
      </c>
      <c r="I190" s="13" t="s">
        <v>458</v>
      </c>
      <c r="J190" s="26"/>
      <c r="K190" s="17">
        <f t="shared" si="24"/>
        <v>160.9</v>
      </c>
      <c r="L190" s="17">
        <f t="shared" si="24"/>
        <v>71.400000000000006</v>
      </c>
      <c r="M190" s="17">
        <f t="shared" si="17"/>
        <v>44.375388440024857</v>
      </c>
    </row>
    <row r="191" spans="1:13" s="12" customFormat="1" ht="31.5" x14ac:dyDescent="0.2">
      <c r="A191" s="85"/>
      <c r="B191" s="33" t="s">
        <v>175</v>
      </c>
      <c r="C191" s="42">
        <v>902</v>
      </c>
      <c r="D191" s="26" t="s">
        <v>8</v>
      </c>
      <c r="E191" s="26" t="s">
        <v>7</v>
      </c>
      <c r="F191" s="13" t="s">
        <v>8</v>
      </c>
      <c r="G191" s="13" t="s">
        <v>126</v>
      </c>
      <c r="H191" s="13" t="s">
        <v>4</v>
      </c>
      <c r="I191" s="13" t="s">
        <v>458</v>
      </c>
      <c r="J191" s="26" t="s">
        <v>58</v>
      </c>
      <c r="K191" s="17">
        <f>109.5+51.4</f>
        <v>160.9</v>
      </c>
      <c r="L191" s="17">
        <v>71.400000000000006</v>
      </c>
      <c r="M191" s="17">
        <f t="shared" si="17"/>
        <v>44.375388440024857</v>
      </c>
    </row>
    <row r="192" spans="1:13" s="12" customFormat="1" x14ac:dyDescent="0.2">
      <c r="A192" s="85"/>
      <c r="B192" s="33" t="s">
        <v>94</v>
      </c>
      <c r="C192" s="42">
        <v>902</v>
      </c>
      <c r="D192" s="13" t="s">
        <v>17</v>
      </c>
      <c r="E192" s="13"/>
      <c r="F192" s="13"/>
      <c r="G192" s="13"/>
      <c r="H192" s="13"/>
      <c r="I192" s="13"/>
      <c r="J192" s="13"/>
      <c r="K192" s="17">
        <f>SUM(K193)</f>
        <v>8663.7000000000007</v>
      </c>
      <c r="L192" s="17">
        <f>SUM(L193)</f>
        <v>6040.7</v>
      </c>
      <c r="M192" s="17">
        <f t="shared" si="17"/>
        <v>69.724251763103524</v>
      </c>
    </row>
    <row r="193" spans="1:13" s="12" customFormat="1" x14ac:dyDescent="0.2">
      <c r="A193" s="85"/>
      <c r="B193" s="57" t="s">
        <v>50</v>
      </c>
      <c r="C193" s="42">
        <v>902</v>
      </c>
      <c r="D193" s="13" t="s">
        <v>95</v>
      </c>
      <c r="E193" s="13" t="s">
        <v>6</v>
      </c>
      <c r="F193" s="13"/>
      <c r="G193" s="13"/>
      <c r="H193" s="13"/>
      <c r="I193" s="13"/>
      <c r="J193" s="13"/>
      <c r="K193" s="17">
        <f>SUM(K194)</f>
        <v>8663.7000000000007</v>
      </c>
      <c r="L193" s="17">
        <f>SUM(L194)</f>
        <v>6040.7</v>
      </c>
      <c r="M193" s="17">
        <f t="shared" si="17"/>
        <v>69.724251763103524</v>
      </c>
    </row>
    <row r="194" spans="1:13" s="12" customFormat="1" ht="33.6" customHeight="1" x14ac:dyDescent="0.2">
      <c r="A194" s="85"/>
      <c r="B194" s="50" t="s">
        <v>262</v>
      </c>
      <c r="C194" s="42">
        <v>902</v>
      </c>
      <c r="D194" s="13" t="s">
        <v>95</v>
      </c>
      <c r="E194" s="13" t="s">
        <v>6</v>
      </c>
      <c r="F194" s="13" t="s">
        <v>122</v>
      </c>
      <c r="G194" s="13"/>
      <c r="H194" s="13"/>
      <c r="I194" s="13"/>
      <c r="J194" s="13"/>
      <c r="K194" s="17">
        <f t="shared" ref="K194:L197" si="25">SUM(K195)</f>
        <v>8663.7000000000007</v>
      </c>
      <c r="L194" s="17">
        <f t="shared" si="25"/>
        <v>6040.7</v>
      </c>
      <c r="M194" s="17">
        <f t="shared" si="17"/>
        <v>69.724251763103524</v>
      </c>
    </row>
    <row r="195" spans="1:13" s="12" customFormat="1" ht="47.25" x14ac:dyDescent="0.2">
      <c r="A195" s="85"/>
      <c r="B195" s="50" t="s">
        <v>265</v>
      </c>
      <c r="C195" s="42">
        <v>902</v>
      </c>
      <c r="D195" s="13" t="s">
        <v>95</v>
      </c>
      <c r="E195" s="13" t="s">
        <v>6</v>
      </c>
      <c r="F195" s="13" t="s">
        <v>122</v>
      </c>
      <c r="G195" s="13" t="s">
        <v>133</v>
      </c>
      <c r="H195" s="13"/>
      <c r="I195" s="13"/>
      <c r="J195" s="13"/>
      <c r="K195" s="17">
        <f t="shared" si="25"/>
        <v>8663.7000000000007</v>
      </c>
      <c r="L195" s="17">
        <f t="shared" si="25"/>
        <v>6040.7</v>
      </c>
      <c r="M195" s="17">
        <f t="shared" si="17"/>
        <v>69.724251763103524</v>
      </c>
    </row>
    <row r="196" spans="1:13" s="12" customFormat="1" ht="31.5" x14ac:dyDescent="0.2">
      <c r="A196" s="85"/>
      <c r="B196" s="50" t="s">
        <v>134</v>
      </c>
      <c r="C196" s="42">
        <v>902</v>
      </c>
      <c r="D196" s="13" t="s">
        <v>95</v>
      </c>
      <c r="E196" s="13" t="s">
        <v>6</v>
      </c>
      <c r="F196" s="13" t="s">
        <v>122</v>
      </c>
      <c r="G196" s="13" t="s">
        <v>133</v>
      </c>
      <c r="H196" s="13" t="s">
        <v>2</v>
      </c>
      <c r="I196" s="13"/>
      <c r="J196" s="13"/>
      <c r="K196" s="17">
        <f t="shared" si="25"/>
        <v>8663.7000000000007</v>
      </c>
      <c r="L196" s="17">
        <f t="shared" si="25"/>
        <v>6040.7</v>
      </c>
      <c r="M196" s="17">
        <f t="shared" si="17"/>
        <v>69.724251763103524</v>
      </c>
    </row>
    <row r="197" spans="1:13" s="12" customFormat="1" ht="78.75" x14ac:dyDescent="0.2">
      <c r="A197" s="85"/>
      <c r="B197" s="50" t="s">
        <v>266</v>
      </c>
      <c r="C197" s="42">
        <v>902</v>
      </c>
      <c r="D197" s="13" t="s">
        <v>95</v>
      </c>
      <c r="E197" s="13" t="s">
        <v>6</v>
      </c>
      <c r="F197" s="13" t="s">
        <v>122</v>
      </c>
      <c r="G197" s="13" t="s">
        <v>133</v>
      </c>
      <c r="H197" s="13" t="s">
        <v>2</v>
      </c>
      <c r="I197" s="13" t="s">
        <v>135</v>
      </c>
      <c r="J197" s="13"/>
      <c r="K197" s="17">
        <f t="shared" si="25"/>
        <v>8663.7000000000007</v>
      </c>
      <c r="L197" s="17">
        <f t="shared" si="25"/>
        <v>6040.7</v>
      </c>
      <c r="M197" s="17">
        <f t="shared" si="17"/>
        <v>69.724251763103524</v>
      </c>
    </row>
    <row r="198" spans="1:13" s="12" customFormat="1" ht="31.5" x14ac:dyDescent="0.2">
      <c r="A198" s="85"/>
      <c r="B198" s="33" t="s">
        <v>175</v>
      </c>
      <c r="C198" s="42">
        <v>902</v>
      </c>
      <c r="D198" s="13" t="s">
        <v>95</v>
      </c>
      <c r="E198" s="13" t="s">
        <v>6</v>
      </c>
      <c r="F198" s="13" t="s">
        <v>122</v>
      </c>
      <c r="G198" s="13" t="s">
        <v>133</v>
      </c>
      <c r="H198" s="13" t="s">
        <v>2</v>
      </c>
      <c r="I198" s="13" t="s">
        <v>135</v>
      </c>
      <c r="J198" s="13" t="s">
        <v>58</v>
      </c>
      <c r="K198" s="17">
        <v>8663.7000000000007</v>
      </c>
      <c r="L198" s="17">
        <v>6040.7</v>
      </c>
      <c r="M198" s="17">
        <f t="shared" si="17"/>
        <v>69.724251763103524</v>
      </c>
    </row>
    <row r="199" spans="1:13" s="12" customFormat="1" x14ac:dyDescent="0.2">
      <c r="A199" s="85"/>
      <c r="B199" s="33" t="s">
        <v>20</v>
      </c>
      <c r="C199" s="42">
        <v>902</v>
      </c>
      <c r="D199" s="13">
        <v>10</v>
      </c>
      <c r="E199" s="13"/>
      <c r="F199" s="13"/>
      <c r="G199" s="25"/>
      <c r="H199" s="13"/>
      <c r="I199" s="13"/>
      <c r="J199" s="13"/>
      <c r="K199" s="17">
        <f>SUM(K200+K206+K218+K224)</f>
        <v>80178.200000000012</v>
      </c>
      <c r="L199" s="17">
        <f>SUM(L200+L206+L218+L224)</f>
        <v>55679.8</v>
      </c>
      <c r="M199" s="17">
        <f t="shared" si="17"/>
        <v>69.445061126341074</v>
      </c>
    </row>
    <row r="200" spans="1:13" s="12" customFormat="1" x14ac:dyDescent="0.2">
      <c r="A200" s="85"/>
      <c r="B200" s="57" t="s">
        <v>43</v>
      </c>
      <c r="C200" s="42">
        <v>902</v>
      </c>
      <c r="D200" s="13" t="s">
        <v>21</v>
      </c>
      <c r="E200" s="13" t="s">
        <v>2</v>
      </c>
      <c r="F200" s="13"/>
      <c r="G200" s="25"/>
      <c r="H200" s="13"/>
      <c r="I200" s="13"/>
      <c r="J200" s="13"/>
      <c r="K200" s="17">
        <f t="shared" ref="K200:L202" si="26">SUM(K201)</f>
        <v>5191</v>
      </c>
      <c r="L200" s="17">
        <f t="shared" si="26"/>
        <v>4180.1000000000004</v>
      </c>
      <c r="M200" s="17">
        <f t="shared" si="17"/>
        <v>80.525910229242925</v>
      </c>
    </row>
    <row r="201" spans="1:13" s="12" customFormat="1" ht="49.15" customHeight="1" x14ac:dyDescent="0.2">
      <c r="A201" s="85"/>
      <c r="B201" s="50" t="s">
        <v>267</v>
      </c>
      <c r="C201" s="42">
        <v>902</v>
      </c>
      <c r="D201" s="13" t="s">
        <v>21</v>
      </c>
      <c r="E201" s="13" t="s">
        <v>2</v>
      </c>
      <c r="F201" s="13" t="s">
        <v>136</v>
      </c>
      <c r="G201" s="25"/>
      <c r="H201" s="13"/>
      <c r="I201" s="13"/>
      <c r="J201" s="13"/>
      <c r="K201" s="17">
        <f t="shared" si="26"/>
        <v>5191</v>
      </c>
      <c r="L201" s="17">
        <f t="shared" si="26"/>
        <v>4180.1000000000004</v>
      </c>
      <c r="M201" s="17">
        <f t="shared" si="17"/>
        <v>80.525910229242925</v>
      </c>
    </row>
    <row r="202" spans="1:13" s="12" customFormat="1" ht="48" customHeight="1" x14ac:dyDescent="0.2">
      <c r="A202" s="85"/>
      <c r="B202" s="50" t="s">
        <v>268</v>
      </c>
      <c r="C202" s="42">
        <v>902</v>
      </c>
      <c r="D202" s="13" t="s">
        <v>21</v>
      </c>
      <c r="E202" s="13" t="s">
        <v>2</v>
      </c>
      <c r="F202" s="13" t="s">
        <v>136</v>
      </c>
      <c r="G202" s="25">
        <v>1</v>
      </c>
      <c r="H202" s="13"/>
      <c r="I202" s="13"/>
      <c r="J202" s="13"/>
      <c r="K202" s="17">
        <f t="shared" si="26"/>
        <v>5191</v>
      </c>
      <c r="L202" s="17">
        <f t="shared" si="26"/>
        <v>4180.1000000000004</v>
      </c>
      <c r="M202" s="17">
        <f t="shared" si="17"/>
        <v>80.525910229242925</v>
      </c>
    </row>
    <row r="203" spans="1:13" s="12" customFormat="1" ht="47.45" customHeight="1" x14ac:dyDescent="0.2">
      <c r="A203" s="85"/>
      <c r="B203" s="55" t="s">
        <v>329</v>
      </c>
      <c r="C203" s="42">
        <v>902</v>
      </c>
      <c r="D203" s="13" t="s">
        <v>21</v>
      </c>
      <c r="E203" s="13" t="s">
        <v>2</v>
      </c>
      <c r="F203" s="13" t="s">
        <v>136</v>
      </c>
      <c r="G203" s="25">
        <v>1</v>
      </c>
      <c r="H203" s="13" t="s">
        <v>2</v>
      </c>
      <c r="I203" s="13"/>
      <c r="J203" s="13"/>
      <c r="K203" s="17">
        <f>SUM(K205)</f>
        <v>5191</v>
      </c>
      <c r="L203" s="17">
        <f>SUM(L205)</f>
        <v>4180.1000000000004</v>
      </c>
      <c r="M203" s="17">
        <f t="shared" si="17"/>
        <v>80.525910229242925</v>
      </c>
    </row>
    <row r="204" spans="1:13" s="12" customFormat="1" ht="49.15" customHeight="1" x14ac:dyDescent="0.2">
      <c r="A204" s="85"/>
      <c r="B204" s="55" t="s">
        <v>269</v>
      </c>
      <c r="C204" s="42">
        <v>902</v>
      </c>
      <c r="D204" s="13" t="s">
        <v>21</v>
      </c>
      <c r="E204" s="13" t="s">
        <v>2</v>
      </c>
      <c r="F204" s="13" t="s">
        <v>136</v>
      </c>
      <c r="G204" s="25">
        <v>1</v>
      </c>
      <c r="H204" s="13" t="s">
        <v>2</v>
      </c>
      <c r="I204" s="13" t="s">
        <v>137</v>
      </c>
      <c r="J204" s="13"/>
      <c r="K204" s="17">
        <f>SUM(K205)</f>
        <v>5191</v>
      </c>
      <c r="L204" s="17">
        <f>SUM(L205)</f>
        <v>4180.1000000000004</v>
      </c>
      <c r="M204" s="17">
        <f t="shared" si="17"/>
        <v>80.525910229242925</v>
      </c>
    </row>
    <row r="205" spans="1:13" s="12" customFormat="1" x14ac:dyDescent="0.2">
      <c r="A205" s="85"/>
      <c r="B205" s="53" t="s">
        <v>69</v>
      </c>
      <c r="C205" s="42">
        <v>902</v>
      </c>
      <c r="D205" s="13" t="s">
        <v>21</v>
      </c>
      <c r="E205" s="13" t="s">
        <v>2</v>
      </c>
      <c r="F205" s="13" t="s">
        <v>136</v>
      </c>
      <c r="G205" s="25">
        <v>1</v>
      </c>
      <c r="H205" s="13" t="s">
        <v>2</v>
      </c>
      <c r="I205" s="13" t="s">
        <v>137</v>
      </c>
      <c r="J205" s="13" t="s">
        <v>70</v>
      </c>
      <c r="K205" s="17">
        <v>5191</v>
      </c>
      <c r="L205" s="17">
        <v>4180.1000000000004</v>
      </c>
      <c r="M205" s="17">
        <f t="shared" si="17"/>
        <v>80.525910229242925</v>
      </c>
    </row>
    <row r="206" spans="1:13" s="12" customFormat="1" x14ac:dyDescent="0.2">
      <c r="A206" s="85"/>
      <c r="B206" s="53" t="s">
        <v>28</v>
      </c>
      <c r="C206" s="42">
        <v>902</v>
      </c>
      <c r="D206" s="13" t="s">
        <v>21</v>
      </c>
      <c r="E206" s="13" t="s">
        <v>5</v>
      </c>
      <c r="F206" s="13"/>
      <c r="G206" s="25"/>
      <c r="H206" s="13"/>
      <c r="I206" s="13"/>
      <c r="J206" s="13"/>
      <c r="K206" s="17">
        <f>K207+K212</f>
        <v>45087.100000000006</v>
      </c>
      <c r="L206" s="17">
        <f>L207+L212</f>
        <v>22710.5</v>
      </c>
      <c r="M206" s="17">
        <f t="shared" si="17"/>
        <v>50.370283296109072</v>
      </c>
    </row>
    <row r="207" spans="1:13" s="12" customFormat="1" ht="49.15" customHeight="1" x14ac:dyDescent="0.2">
      <c r="A207" s="85"/>
      <c r="B207" s="54" t="s">
        <v>267</v>
      </c>
      <c r="C207" s="42">
        <v>902</v>
      </c>
      <c r="D207" s="13" t="s">
        <v>21</v>
      </c>
      <c r="E207" s="13" t="s">
        <v>5</v>
      </c>
      <c r="F207" s="13" t="s">
        <v>136</v>
      </c>
      <c r="G207" s="13"/>
      <c r="H207" s="13"/>
      <c r="I207" s="13"/>
      <c r="J207" s="26"/>
      <c r="K207" s="17">
        <f t="shared" ref="K207:L210" si="27">SUM(K208)</f>
        <v>200</v>
      </c>
      <c r="L207" s="17">
        <f t="shared" si="27"/>
        <v>143.69999999999999</v>
      </c>
      <c r="M207" s="17">
        <f t="shared" si="17"/>
        <v>71.849999999999994</v>
      </c>
    </row>
    <row r="208" spans="1:13" s="12" customFormat="1" ht="51" customHeight="1" x14ac:dyDescent="0.2">
      <c r="A208" s="85"/>
      <c r="B208" s="54" t="s">
        <v>268</v>
      </c>
      <c r="C208" s="42">
        <v>902</v>
      </c>
      <c r="D208" s="13" t="s">
        <v>21</v>
      </c>
      <c r="E208" s="13" t="s">
        <v>5</v>
      </c>
      <c r="F208" s="13" t="s">
        <v>136</v>
      </c>
      <c r="G208" s="13" t="s">
        <v>126</v>
      </c>
      <c r="H208" s="13"/>
      <c r="I208" s="13"/>
      <c r="J208" s="13"/>
      <c r="K208" s="17">
        <f t="shared" si="27"/>
        <v>200</v>
      </c>
      <c r="L208" s="17">
        <f t="shared" si="27"/>
        <v>143.69999999999999</v>
      </c>
      <c r="M208" s="17">
        <f t="shared" si="17"/>
        <v>71.849999999999994</v>
      </c>
    </row>
    <row r="209" spans="1:13" s="12" customFormat="1" ht="46.9" customHeight="1" x14ac:dyDescent="0.2">
      <c r="A209" s="85"/>
      <c r="B209" s="58" t="s">
        <v>329</v>
      </c>
      <c r="C209" s="42">
        <v>902</v>
      </c>
      <c r="D209" s="13" t="s">
        <v>21</v>
      </c>
      <c r="E209" s="13" t="s">
        <v>5</v>
      </c>
      <c r="F209" s="13" t="s">
        <v>136</v>
      </c>
      <c r="G209" s="13" t="s">
        <v>126</v>
      </c>
      <c r="H209" s="13" t="s">
        <v>2</v>
      </c>
      <c r="I209" s="13"/>
      <c r="J209" s="13"/>
      <c r="K209" s="17">
        <f t="shared" si="27"/>
        <v>200</v>
      </c>
      <c r="L209" s="17">
        <f t="shared" si="27"/>
        <v>143.69999999999999</v>
      </c>
      <c r="M209" s="17">
        <f t="shared" si="17"/>
        <v>71.849999999999994</v>
      </c>
    </row>
    <row r="210" spans="1:13" s="12" customFormat="1" ht="48.6" customHeight="1" x14ac:dyDescent="0.2">
      <c r="A210" s="85"/>
      <c r="B210" s="54" t="s">
        <v>269</v>
      </c>
      <c r="C210" s="42">
        <v>902</v>
      </c>
      <c r="D210" s="13" t="s">
        <v>21</v>
      </c>
      <c r="E210" s="13" t="s">
        <v>5</v>
      </c>
      <c r="F210" s="13" t="s">
        <v>136</v>
      </c>
      <c r="G210" s="13" t="s">
        <v>126</v>
      </c>
      <c r="H210" s="13" t="s">
        <v>2</v>
      </c>
      <c r="I210" s="13" t="s">
        <v>137</v>
      </c>
      <c r="J210" s="13"/>
      <c r="K210" s="17">
        <f t="shared" si="27"/>
        <v>200</v>
      </c>
      <c r="L210" s="17">
        <f t="shared" si="27"/>
        <v>143.69999999999999</v>
      </c>
      <c r="M210" s="17">
        <f t="shared" si="17"/>
        <v>71.849999999999994</v>
      </c>
    </row>
    <row r="211" spans="1:13" s="12" customFormat="1" x14ac:dyDescent="0.2">
      <c r="A211" s="85"/>
      <c r="B211" s="33" t="s">
        <v>69</v>
      </c>
      <c r="C211" s="42">
        <v>902</v>
      </c>
      <c r="D211" s="13" t="s">
        <v>21</v>
      </c>
      <c r="E211" s="13" t="s">
        <v>5</v>
      </c>
      <c r="F211" s="13" t="s">
        <v>136</v>
      </c>
      <c r="G211" s="13" t="s">
        <v>126</v>
      </c>
      <c r="H211" s="13" t="s">
        <v>2</v>
      </c>
      <c r="I211" s="13" t="s">
        <v>137</v>
      </c>
      <c r="J211" s="13" t="s">
        <v>70</v>
      </c>
      <c r="K211" s="17">
        <v>200</v>
      </c>
      <c r="L211" s="17">
        <v>143.69999999999999</v>
      </c>
      <c r="M211" s="17">
        <f t="shared" si="17"/>
        <v>71.849999999999994</v>
      </c>
    </row>
    <row r="212" spans="1:13" s="12" customFormat="1" ht="46.9" customHeight="1" x14ac:dyDescent="0.2">
      <c r="A212" s="85"/>
      <c r="B212" s="54" t="s">
        <v>84</v>
      </c>
      <c r="C212" s="42">
        <v>902</v>
      </c>
      <c r="D212" s="13" t="s">
        <v>21</v>
      </c>
      <c r="E212" s="13" t="s">
        <v>5</v>
      </c>
      <c r="F212" s="13" t="s">
        <v>141</v>
      </c>
      <c r="G212" s="13"/>
      <c r="H212" s="13"/>
      <c r="I212" s="13"/>
      <c r="J212" s="13"/>
      <c r="K212" s="17">
        <f>SUM(K213)</f>
        <v>44887.100000000006</v>
      </c>
      <c r="L212" s="17">
        <f>SUM(L213)</f>
        <v>22566.799999999999</v>
      </c>
      <c r="M212" s="17">
        <f t="shared" ref="M212:M275" si="28">L212/K212*100</f>
        <v>50.274577774015242</v>
      </c>
    </row>
    <row r="213" spans="1:13" s="12" customFormat="1" x14ac:dyDescent="0.2">
      <c r="A213" s="85"/>
      <c r="B213" s="54" t="s">
        <v>64</v>
      </c>
      <c r="C213" s="42">
        <v>902</v>
      </c>
      <c r="D213" s="13" t="s">
        <v>21</v>
      </c>
      <c r="E213" s="13" t="s">
        <v>5</v>
      </c>
      <c r="F213" s="13" t="s">
        <v>141</v>
      </c>
      <c r="G213" s="13" t="s">
        <v>166</v>
      </c>
      <c r="H213" s="13"/>
      <c r="I213" s="13"/>
      <c r="J213" s="13"/>
      <c r="K213" s="17">
        <f>K214+K216</f>
        <v>44887.100000000006</v>
      </c>
      <c r="L213" s="17">
        <f>L214+L216</f>
        <v>22566.799999999999</v>
      </c>
      <c r="M213" s="17">
        <f t="shared" si="28"/>
        <v>50.274577774015242</v>
      </c>
    </row>
    <row r="214" spans="1:13" s="12" customFormat="1" ht="31.5" x14ac:dyDescent="0.2">
      <c r="A214" s="85"/>
      <c r="B214" s="54" t="s">
        <v>83</v>
      </c>
      <c r="C214" s="42">
        <v>902</v>
      </c>
      <c r="D214" s="13" t="s">
        <v>21</v>
      </c>
      <c r="E214" s="13" t="s">
        <v>5</v>
      </c>
      <c r="F214" s="13" t="s">
        <v>141</v>
      </c>
      <c r="G214" s="13" t="s">
        <v>166</v>
      </c>
      <c r="H214" s="13" t="s">
        <v>102</v>
      </c>
      <c r="I214" s="13" t="s">
        <v>143</v>
      </c>
      <c r="J214" s="13"/>
      <c r="K214" s="17">
        <f>K215</f>
        <v>7906.8</v>
      </c>
      <c r="L214" s="17">
        <f>L215</f>
        <v>7906.8</v>
      </c>
      <c r="M214" s="17">
        <f t="shared" si="28"/>
        <v>100</v>
      </c>
    </row>
    <row r="215" spans="1:13" s="12" customFormat="1" x14ac:dyDescent="0.2">
      <c r="A215" s="85"/>
      <c r="B215" s="33" t="s">
        <v>69</v>
      </c>
      <c r="C215" s="42">
        <v>902</v>
      </c>
      <c r="D215" s="13" t="s">
        <v>21</v>
      </c>
      <c r="E215" s="13" t="s">
        <v>5</v>
      </c>
      <c r="F215" s="13" t="s">
        <v>141</v>
      </c>
      <c r="G215" s="13" t="s">
        <v>166</v>
      </c>
      <c r="H215" s="13" t="s">
        <v>102</v>
      </c>
      <c r="I215" s="13" t="s">
        <v>143</v>
      </c>
      <c r="J215" s="13" t="s">
        <v>70</v>
      </c>
      <c r="K215" s="17">
        <f>4946.8+2880+80</f>
        <v>7906.8</v>
      </c>
      <c r="L215" s="17">
        <v>7906.8</v>
      </c>
      <c r="M215" s="17">
        <f t="shared" si="28"/>
        <v>100</v>
      </c>
    </row>
    <row r="216" spans="1:13" s="12" customFormat="1" ht="20.25" customHeight="1" x14ac:dyDescent="0.2">
      <c r="A216" s="85"/>
      <c r="B216" s="33" t="s">
        <v>444</v>
      </c>
      <c r="C216" s="42">
        <v>902</v>
      </c>
      <c r="D216" s="13" t="s">
        <v>21</v>
      </c>
      <c r="E216" s="13" t="s">
        <v>5</v>
      </c>
      <c r="F216" s="13" t="s">
        <v>141</v>
      </c>
      <c r="G216" s="13" t="s">
        <v>166</v>
      </c>
      <c r="H216" s="13" t="s">
        <v>102</v>
      </c>
      <c r="I216" s="13" t="s">
        <v>347</v>
      </c>
      <c r="J216" s="13"/>
      <c r="K216" s="17">
        <f>SUM(K217)</f>
        <v>36980.300000000003</v>
      </c>
      <c r="L216" s="17">
        <f>SUM(L217)</f>
        <v>14660</v>
      </c>
      <c r="M216" s="17">
        <f t="shared" si="28"/>
        <v>39.642728696089534</v>
      </c>
    </row>
    <row r="217" spans="1:13" s="12" customFormat="1" x14ac:dyDescent="0.2">
      <c r="A217" s="85"/>
      <c r="B217" s="33" t="s">
        <v>69</v>
      </c>
      <c r="C217" s="42">
        <v>902</v>
      </c>
      <c r="D217" s="13" t="s">
        <v>21</v>
      </c>
      <c r="E217" s="13" t="s">
        <v>5</v>
      </c>
      <c r="F217" s="13" t="s">
        <v>141</v>
      </c>
      <c r="G217" s="13" t="s">
        <v>166</v>
      </c>
      <c r="H217" s="13" t="s">
        <v>102</v>
      </c>
      <c r="I217" s="13" t="s">
        <v>347</v>
      </c>
      <c r="J217" s="13" t="s">
        <v>70</v>
      </c>
      <c r="K217" s="17">
        <f>3.2+30476.8+0.7+6499.6</f>
        <v>36980.300000000003</v>
      </c>
      <c r="L217" s="17">
        <v>14660</v>
      </c>
      <c r="M217" s="17">
        <f t="shared" si="28"/>
        <v>39.642728696089534</v>
      </c>
    </row>
    <row r="218" spans="1:13" s="12" customFormat="1" x14ac:dyDescent="0.2">
      <c r="A218" s="85"/>
      <c r="B218" s="53" t="s">
        <v>29</v>
      </c>
      <c r="C218" s="42">
        <v>902</v>
      </c>
      <c r="D218" s="13" t="s">
        <v>21</v>
      </c>
      <c r="E218" s="13" t="s">
        <v>6</v>
      </c>
      <c r="F218" s="13"/>
      <c r="G218" s="25"/>
      <c r="H218" s="13"/>
      <c r="I218" s="13"/>
      <c r="J218" s="13"/>
      <c r="K218" s="17">
        <f>K219</f>
        <v>25940.5</v>
      </c>
      <c r="L218" s="17">
        <f>L219</f>
        <v>25940.400000000001</v>
      </c>
      <c r="M218" s="17">
        <f t="shared" si="28"/>
        <v>99.999614502418993</v>
      </c>
    </row>
    <row r="219" spans="1:13" s="12" customFormat="1" ht="34.15" customHeight="1" x14ac:dyDescent="0.2">
      <c r="A219" s="85"/>
      <c r="B219" s="50" t="s">
        <v>262</v>
      </c>
      <c r="C219" s="42">
        <v>902</v>
      </c>
      <c r="D219" s="13" t="s">
        <v>21</v>
      </c>
      <c r="E219" s="13" t="s">
        <v>6</v>
      </c>
      <c r="F219" s="13" t="s">
        <v>122</v>
      </c>
      <c r="G219" s="25"/>
      <c r="H219" s="13"/>
      <c r="I219" s="13"/>
      <c r="J219" s="13"/>
      <c r="K219" s="17">
        <f t="shared" ref="K219:L219" si="29">K220</f>
        <v>25940.5</v>
      </c>
      <c r="L219" s="17">
        <f t="shared" si="29"/>
        <v>25940.400000000001</v>
      </c>
      <c r="M219" s="17">
        <f t="shared" si="28"/>
        <v>99.999614502418993</v>
      </c>
    </row>
    <row r="220" spans="1:13" s="12" customFormat="1" x14ac:dyDescent="0.2">
      <c r="A220" s="85"/>
      <c r="B220" s="50" t="s">
        <v>270</v>
      </c>
      <c r="C220" s="42">
        <v>902</v>
      </c>
      <c r="D220" s="13" t="s">
        <v>21</v>
      </c>
      <c r="E220" s="13" t="s">
        <v>6</v>
      </c>
      <c r="F220" s="13" t="s">
        <v>122</v>
      </c>
      <c r="G220" s="25">
        <v>2</v>
      </c>
      <c r="H220" s="13"/>
      <c r="I220" s="13"/>
      <c r="J220" s="13"/>
      <c r="K220" s="17">
        <f t="shared" ref="K220:L222" si="30">SUM(K221)</f>
        <v>25940.5</v>
      </c>
      <c r="L220" s="17">
        <f t="shared" si="30"/>
        <v>25940.400000000001</v>
      </c>
      <c r="M220" s="17">
        <f t="shared" si="28"/>
        <v>99.999614502418993</v>
      </c>
    </row>
    <row r="221" spans="1:13" s="12" customFormat="1" ht="48" customHeight="1" x14ac:dyDescent="0.2">
      <c r="A221" s="85"/>
      <c r="B221" s="50" t="s">
        <v>132</v>
      </c>
      <c r="C221" s="42">
        <v>902</v>
      </c>
      <c r="D221" s="13" t="s">
        <v>21</v>
      </c>
      <c r="E221" s="13" t="s">
        <v>6</v>
      </c>
      <c r="F221" s="13" t="s">
        <v>122</v>
      </c>
      <c r="G221" s="25">
        <v>2</v>
      </c>
      <c r="H221" s="13" t="s">
        <v>2</v>
      </c>
      <c r="I221" s="13"/>
      <c r="J221" s="13"/>
      <c r="K221" s="17">
        <f t="shared" si="30"/>
        <v>25940.5</v>
      </c>
      <c r="L221" s="17">
        <f t="shared" si="30"/>
        <v>25940.400000000001</v>
      </c>
      <c r="M221" s="17">
        <f t="shared" si="28"/>
        <v>99.999614502418993</v>
      </c>
    </row>
    <row r="222" spans="1:13" s="12" customFormat="1" ht="33" customHeight="1" x14ac:dyDescent="0.2">
      <c r="A222" s="85"/>
      <c r="B222" s="50" t="s">
        <v>327</v>
      </c>
      <c r="C222" s="42">
        <v>902</v>
      </c>
      <c r="D222" s="13" t="s">
        <v>21</v>
      </c>
      <c r="E222" s="13" t="s">
        <v>6</v>
      </c>
      <c r="F222" s="13" t="s">
        <v>122</v>
      </c>
      <c r="G222" s="25">
        <v>2</v>
      </c>
      <c r="H222" s="13" t="s">
        <v>2</v>
      </c>
      <c r="I222" s="13" t="s">
        <v>328</v>
      </c>
      <c r="J222" s="13"/>
      <c r="K222" s="17">
        <f t="shared" si="30"/>
        <v>25940.5</v>
      </c>
      <c r="L222" s="17">
        <f t="shared" si="30"/>
        <v>25940.400000000001</v>
      </c>
      <c r="M222" s="17">
        <f t="shared" si="28"/>
        <v>99.999614502418993</v>
      </c>
    </row>
    <row r="223" spans="1:13" s="12" customFormat="1" x14ac:dyDescent="0.2">
      <c r="A223" s="85"/>
      <c r="B223" s="53" t="s">
        <v>69</v>
      </c>
      <c r="C223" s="42">
        <v>902</v>
      </c>
      <c r="D223" s="13" t="s">
        <v>21</v>
      </c>
      <c r="E223" s="13" t="s">
        <v>6</v>
      </c>
      <c r="F223" s="13" t="s">
        <v>122</v>
      </c>
      <c r="G223" s="25">
        <v>2</v>
      </c>
      <c r="H223" s="13" t="s">
        <v>2</v>
      </c>
      <c r="I223" s="13" t="s">
        <v>328</v>
      </c>
      <c r="J223" s="13" t="s">
        <v>70</v>
      </c>
      <c r="K223" s="17">
        <f>10578.8+13436.7+27.2+1062.9-0.2+835.1</f>
        <v>25940.5</v>
      </c>
      <c r="L223" s="17">
        <v>25940.400000000001</v>
      </c>
      <c r="M223" s="17">
        <f t="shared" si="28"/>
        <v>99.999614502418993</v>
      </c>
    </row>
    <row r="224" spans="1:13" s="12" customFormat="1" x14ac:dyDescent="0.2">
      <c r="A224" s="85"/>
      <c r="B224" s="33" t="s">
        <v>80</v>
      </c>
      <c r="C224" s="42">
        <v>902</v>
      </c>
      <c r="D224" s="13" t="s">
        <v>21</v>
      </c>
      <c r="E224" s="13" t="s">
        <v>30</v>
      </c>
      <c r="F224" s="13"/>
      <c r="G224" s="25"/>
      <c r="H224" s="13"/>
      <c r="I224" s="13"/>
      <c r="J224" s="13"/>
      <c r="K224" s="17">
        <f t="shared" ref="K224:L226" si="31">SUM(K225)</f>
        <v>3959.6000000000004</v>
      </c>
      <c r="L224" s="17">
        <f t="shared" si="31"/>
        <v>2848.8</v>
      </c>
      <c r="M224" s="17">
        <f t="shared" si="28"/>
        <v>71.946661278917063</v>
      </c>
    </row>
    <row r="225" spans="1:13" ht="33.6" customHeight="1" x14ac:dyDescent="0.2">
      <c r="A225" s="85"/>
      <c r="B225" s="33" t="s">
        <v>89</v>
      </c>
      <c r="C225" s="42">
        <v>902</v>
      </c>
      <c r="D225" s="13" t="s">
        <v>21</v>
      </c>
      <c r="E225" s="13" t="s">
        <v>30</v>
      </c>
      <c r="F225" s="13">
        <v>52</v>
      </c>
      <c r="G225" s="25"/>
      <c r="H225" s="13"/>
      <c r="I225" s="13"/>
      <c r="J225" s="13"/>
      <c r="K225" s="17">
        <f t="shared" si="31"/>
        <v>3959.6000000000004</v>
      </c>
      <c r="L225" s="17">
        <f t="shared" si="31"/>
        <v>2848.8</v>
      </c>
      <c r="M225" s="17">
        <f t="shared" si="28"/>
        <v>71.946661278917063</v>
      </c>
    </row>
    <row r="226" spans="1:13" ht="30.6" customHeight="1" x14ac:dyDescent="0.2">
      <c r="A226" s="85"/>
      <c r="B226" s="33" t="s">
        <v>62</v>
      </c>
      <c r="C226" s="42">
        <v>902</v>
      </c>
      <c r="D226" s="13" t="s">
        <v>21</v>
      </c>
      <c r="E226" s="13" t="s">
        <v>30</v>
      </c>
      <c r="F226" s="13" t="s">
        <v>109</v>
      </c>
      <c r="G226" s="25">
        <v>2</v>
      </c>
      <c r="H226" s="13"/>
      <c r="I226" s="13"/>
      <c r="J226" s="13"/>
      <c r="K226" s="17">
        <f t="shared" si="31"/>
        <v>3959.6000000000004</v>
      </c>
      <c r="L226" s="17">
        <f t="shared" si="31"/>
        <v>2848.8</v>
      </c>
      <c r="M226" s="17">
        <f t="shared" si="28"/>
        <v>71.946661278917063</v>
      </c>
    </row>
    <row r="227" spans="1:13" s="12" customFormat="1" ht="47.25" x14ac:dyDescent="0.2">
      <c r="A227" s="85"/>
      <c r="B227" s="33" t="s">
        <v>82</v>
      </c>
      <c r="C227" s="42">
        <v>902</v>
      </c>
      <c r="D227" s="13" t="s">
        <v>21</v>
      </c>
      <c r="E227" s="13" t="s">
        <v>30</v>
      </c>
      <c r="F227" s="13" t="s">
        <v>109</v>
      </c>
      <c r="G227" s="25">
        <v>2</v>
      </c>
      <c r="H227" s="13" t="s">
        <v>102</v>
      </c>
      <c r="I227" s="13" t="s">
        <v>472</v>
      </c>
      <c r="J227" s="13"/>
      <c r="K227" s="17">
        <f>SUM(K228:K229)</f>
        <v>3959.6000000000004</v>
      </c>
      <c r="L227" s="17">
        <f>SUM(L228:L229)</f>
        <v>2848.8</v>
      </c>
      <c r="M227" s="17">
        <f t="shared" si="28"/>
        <v>71.946661278917063</v>
      </c>
    </row>
    <row r="228" spans="1:13" s="12" customFormat="1" ht="79.150000000000006" customHeight="1" x14ac:dyDescent="0.2">
      <c r="A228" s="85"/>
      <c r="B228" s="33" t="s">
        <v>174</v>
      </c>
      <c r="C228" s="42">
        <v>902</v>
      </c>
      <c r="D228" s="13" t="s">
        <v>21</v>
      </c>
      <c r="E228" s="13" t="s">
        <v>30</v>
      </c>
      <c r="F228" s="13" t="s">
        <v>109</v>
      </c>
      <c r="G228" s="25">
        <v>2</v>
      </c>
      <c r="H228" s="13" t="s">
        <v>102</v>
      </c>
      <c r="I228" s="13" t="s">
        <v>472</v>
      </c>
      <c r="J228" s="13" t="s">
        <v>56</v>
      </c>
      <c r="K228" s="17">
        <f>3642.5+46.9</f>
        <v>3689.4</v>
      </c>
      <c r="L228" s="17">
        <v>2794.3</v>
      </c>
      <c r="M228" s="17">
        <f t="shared" si="28"/>
        <v>75.738602482788536</v>
      </c>
    </row>
    <row r="229" spans="1:13" s="12" customFormat="1" ht="31.5" x14ac:dyDescent="0.2">
      <c r="A229" s="85"/>
      <c r="B229" s="33" t="s">
        <v>175</v>
      </c>
      <c r="C229" s="42">
        <v>902</v>
      </c>
      <c r="D229" s="13" t="s">
        <v>21</v>
      </c>
      <c r="E229" s="13" t="s">
        <v>30</v>
      </c>
      <c r="F229" s="13" t="s">
        <v>109</v>
      </c>
      <c r="G229" s="25">
        <v>2</v>
      </c>
      <c r="H229" s="13" t="s">
        <v>102</v>
      </c>
      <c r="I229" s="13" t="s">
        <v>472</v>
      </c>
      <c r="J229" s="13" t="s">
        <v>58</v>
      </c>
      <c r="K229" s="17">
        <f>317.1-46.9</f>
        <v>270.20000000000005</v>
      </c>
      <c r="L229" s="17">
        <v>54.5</v>
      </c>
      <c r="M229" s="17">
        <f t="shared" si="28"/>
        <v>20.170244263508508</v>
      </c>
    </row>
    <row r="230" spans="1:13" s="12" customFormat="1" ht="31.5" x14ac:dyDescent="0.2">
      <c r="A230" s="85"/>
      <c r="B230" s="33" t="s">
        <v>46</v>
      </c>
      <c r="C230" s="25">
        <v>902</v>
      </c>
      <c r="D230" s="13" t="s">
        <v>41</v>
      </c>
      <c r="E230" s="13"/>
      <c r="F230" s="13"/>
      <c r="G230" s="25"/>
      <c r="H230" s="13"/>
      <c r="I230" s="13"/>
      <c r="J230" s="13"/>
      <c r="K230" s="17">
        <f t="shared" ref="K230:L230" si="32">SUM(K231)</f>
        <v>0</v>
      </c>
      <c r="L230" s="17">
        <f t="shared" si="32"/>
        <v>0</v>
      </c>
      <c r="M230" s="17"/>
    </row>
    <row r="231" spans="1:13" s="12" customFormat="1" ht="36" customHeight="1" x14ac:dyDescent="0.2">
      <c r="A231" s="85"/>
      <c r="B231" s="33" t="s">
        <v>47</v>
      </c>
      <c r="C231" s="25">
        <v>902</v>
      </c>
      <c r="D231" s="13" t="s">
        <v>41</v>
      </c>
      <c r="E231" s="13" t="s">
        <v>2</v>
      </c>
      <c r="F231" s="13"/>
      <c r="G231" s="25"/>
      <c r="H231" s="13"/>
      <c r="I231" s="13"/>
      <c r="J231" s="13"/>
      <c r="K231" s="17">
        <f t="shared" ref="K231:L235" si="33">SUM(K232)</f>
        <v>0</v>
      </c>
      <c r="L231" s="17">
        <f t="shared" si="33"/>
        <v>0</v>
      </c>
      <c r="M231" s="17"/>
    </row>
    <row r="232" spans="1:13" s="12" customFormat="1" ht="34.9" customHeight="1" x14ac:dyDescent="0.2">
      <c r="A232" s="85"/>
      <c r="B232" s="50" t="s">
        <v>271</v>
      </c>
      <c r="C232" s="25">
        <v>902</v>
      </c>
      <c r="D232" s="13" t="s">
        <v>41</v>
      </c>
      <c r="E232" s="13" t="s">
        <v>2</v>
      </c>
      <c r="F232" s="13" t="s">
        <v>5</v>
      </c>
      <c r="G232" s="25"/>
      <c r="H232" s="13"/>
      <c r="I232" s="13"/>
      <c r="J232" s="13"/>
      <c r="K232" s="17">
        <f t="shared" si="33"/>
        <v>0</v>
      </c>
      <c r="L232" s="17">
        <f t="shared" si="33"/>
        <v>0</v>
      </c>
      <c r="M232" s="17"/>
    </row>
    <row r="233" spans="1:13" s="12" customFormat="1" x14ac:dyDescent="0.2">
      <c r="A233" s="85"/>
      <c r="B233" s="50" t="s">
        <v>272</v>
      </c>
      <c r="C233" s="25">
        <v>902</v>
      </c>
      <c r="D233" s="13" t="s">
        <v>41</v>
      </c>
      <c r="E233" s="13" t="s">
        <v>2</v>
      </c>
      <c r="F233" s="13" t="s">
        <v>5</v>
      </c>
      <c r="G233" s="25">
        <v>2</v>
      </c>
      <c r="H233" s="13"/>
      <c r="I233" s="13"/>
      <c r="J233" s="13"/>
      <c r="K233" s="17">
        <f t="shared" si="33"/>
        <v>0</v>
      </c>
      <c r="L233" s="17">
        <f t="shared" si="33"/>
        <v>0</v>
      </c>
      <c r="M233" s="17"/>
    </row>
    <row r="234" spans="1:13" s="12" customFormat="1" ht="46.9" customHeight="1" x14ac:dyDescent="0.2">
      <c r="A234" s="85"/>
      <c r="B234" s="50" t="s">
        <v>138</v>
      </c>
      <c r="C234" s="25">
        <v>902</v>
      </c>
      <c r="D234" s="13" t="s">
        <v>41</v>
      </c>
      <c r="E234" s="13" t="s">
        <v>2</v>
      </c>
      <c r="F234" s="13" t="s">
        <v>5</v>
      </c>
      <c r="G234" s="25">
        <v>2</v>
      </c>
      <c r="H234" s="13" t="s">
        <v>2</v>
      </c>
      <c r="I234" s="13"/>
      <c r="J234" s="13"/>
      <c r="K234" s="17">
        <f t="shared" si="33"/>
        <v>0</v>
      </c>
      <c r="L234" s="17">
        <f t="shared" si="33"/>
        <v>0</v>
      </c>
      <c r="M234" s="17"/>
    </row>
    <row r="235" spans="1:13" s="12" customFormat="1" x14ac:dyDescent="0.2">
      <c r="A235" s="85"/>
      <c r="B235" s="50" t="s">
        <v>139</v>
      </c>
      <c r="C235" s="25">
        <v>902</v>
      </c>
      <c r="D235" s="13" t="s">
        <v>41</v>
      </c>
      <c r="E235" s="13" t="s">
        <v>2</v>
      </c>
      <c r="F235" s="13" t="s">
        <v>5</v>
      </c>
      <c r="G235" s="25">
        <v>2</v>
      </c>
      <c r="H235" s="13" t="s">
        <v>2</v>
      </c>
      <c r="I235" s="13" t="s">
        <v>140</v>
      </c>
      <c r="J235" s="13"/>
      <c r="K235" s="17">
        <f t="shared" si="33"/>
        <v>0</v>
      </c>
      <c r="L235" s="17">
        <f t="shared" si="33"/>
        <v>0</v>
      </c>
      <c r="M235" s="17"/>
    </row>
    <row r="236" spans="1:13" s="12" customFormat="1" x14ac:dyDescent="0.2">
      <c r="A236" s="86"/>
      <c r="B236" s="33" t="s">
        <v>71</v>
      </c>
      <c r="C236" s="25">
        <v>902</v>
      </c>
      <c r="D236" s="13" t="s">
        <v>41</v>
      </c>
      <c r="E236" s="13" t="s">
        <v>2</v>
      </c>
      <c r="F236" s="13" t="s">
        <v>5</v>
      </c>
      <c r="G236" s="25">
        <v>2</v>
      </c>
      <c r="H236" s="13" t="s">
        <v>2</v>
      </c>
      <c r="I236" s="13" t="s">
        <v>140</v>
      </c>
      <c r="J236" s="13" t="s">
        <v>72</v>
      </c>
      <c r="K236" s="17">
        <v>0</v>
      </c>
      <c r="L236" s="17">
        <v>0</v>
      </c>
      <c r="M236" s="17"/>
    </row>
    <row r="237" spans="1:13" s="12" customFormat="1" ht="31.5" x14ac:dyDescent="0.2">
      <c r="A237" s="88">
        <v>3</v>
      </c>
      <c r="B237" s="33" t="s">
        <v>44</v>
      </c>
      <c r="C237" s="25">
        <v>905</v>
      </c>
      <c r="D237" s="13"/>
      <c r="E237" s="13"/>
      <c r="F237" s="13"/>
      <c r="G237" s="25"/>
      <c r="H237" s="13"/>
      <c r="I237" s="13"/>
      <c r="J237" s="13"/>
      <c r="K237" s="17">
        <f>SUM(K238+K274+K318+K311+K297+K286+K305+K268)</f>
        <v>123595.69999999998</v>
      </c>
      <c r="L237" s="17">
        <f>SUM(L238+L274+L318+L311+L297+L286+L305+L268)</f>
        <v>100771.9</v>
      </c>
      <c r="M237" s="17">
        <f t="shared" si="28"/>
        <v>81.533499951859184</v>
      </c>
    </row>
    <row r="238" spans="1:13" s="12" customFormat="1" x14ac:dyDescent="0.2">
      <c r="A238" s="89"/>
      <c r="B238" s="33" t="s">
        <v>1</v>
      </c>
      <c r="C238" s="25">
        <v>905</v>
      </c>
      <c r="D238" s="13" t="s">
        <v>2</v>
      </c>
      <c r="E238" s="13"/>
      <c r="F238" s="13"/>
      <c r="G238" s="25"/>
      <c r="H238" s="13"/>
      <c r="I238" s="13"/>
      <c r="J238" s="13"/>
      <c r="K238" s="17">
        <f>SUM(K239+K247+K252+K256)</f>
        <v>26625.899999999998</v>
      </c>
      <c r="L238" s="17">
        <f>SUM(L239+L247+L252+L256)</f>
        <v>18091.100000000002</v>
      </c>
      <c r="M238" s="17">
        <f t="shared" si="28"/>
        <v>67.945496678046581</v>
      </c>
    </row>
    <row r="239" spans="1:13" s="12" customFormat="1" ht="47.45" customHeight="1" x14ac:dyDescent="0.2">
      <c r="A239" s="89"/>
      <c r="B239" s="33" t="s">
        <v>45</v>
      </c>
      <c r="C239" s="25">
        <v>905</v>
      </c>
      <c r="D239" s="13" t="s">
        <v>2</v>
      </c>
      <c r="E239" s="13" t="s">
        <v>30</v>
      </c>
      <c r="F239" s="13"/>
      <c r="G239" s="25"/>
      <c r="H239" s="13"/>
      <c r="I239" s="13"/>
      <c r="J239" s="13"/>
      <c r="K239" s="17">
        <f t="shared" ref="K239:L240" si="34">SUM(K240)</f>
        <v>25313.699999999997</v>
      </c>
      <c r="L239" s="17">
        <f t="shared" si="34"/>
        <v>17011.7</v>
      </c>
      <c r="M239" s="17">
        <f t="shared" si="28"/>
        <v>67.203530104251868</v>
      </c>
    </row>
    <row r="240" spans="1:13" s="12" customFormat="1" ht="48.6" customHeight="1" x14ac:dyDescent="0.2">
      <c r="A240" s="89"/>
      <c r="B240" s="33" t="s">
        <v>84</v>
      </c>
      <c r="C240" s="25">
        <v>905</v>
      </c>
      <c r="D240" s="13" t="s">
        <v>2</v>
      </c>
      <c r="E240" s="13" t="s">
        <v>30</v>
      </c>
      <c r="F240" s="13" t="s">
        <v>141</v>
      </c>
      <c r="G240" s="25"/>
      <c r="H240" s="13"/>
      <c r="I240" s="13"/>
      <c r="J240" s="13"/>
      <c r="K240" s="17">
        <f t="shared" si="34"/>
        <v>25313.699999999997</v>
      </c>
      <c r="L240" s="17">
        <f t="shared" si="34"/>
        <v>17011.7</v>
      </c>
      <c r="M240" s="17">
        <f t="shared" si="28"/>
        <v>67.203530104251868</v>
      </c>
    </row>
    <row r="241" spans="1:13" s="12" customFormat="1" ht="49.15" customHeight="1" x14ac:dyDescent="0.2">
      <c r="A241" s="89"/>
      <c r="B241" s="33" t="s">
        <v>142</v>
      </c>
      <c r="C241" s="25">
        <v>905</v>
      </c>
      <c r="D241" s="13" t="s">
        <v>2</v>
      </c>
      <c r="E241" s="13" t="s">
        <v>30</v>
      </c>
      <c r="F241" s="13" t="s">
        <v>141</v>
      </c>
      <c r="G241" s="25">
        <v>1</v>
      </c>
      <c r="H241" s="13"/>
      <c r="I241" s="13"/>
      <c r="J241" s="13"/>
      <c r="K241" s="17">
        <f>SUM(K242)</f>
        <v>25313.699999999997</v>
      </c>
      <c r="L241" s="17">
        <f>SUM(L242)</f>
        <v>17011.7</v>
      </c>
      <c r="M241" s="17">
        <f t="shared" si="28"/>
        <v>67.203530104251868</v>
      </c>
    </row>
    <row r="242" spans="1:13" s="12" customFormat="1" ht="31.5" x14ac:dyDescent="0.2">
      <c r="A242" s="89"/>
      <c r="B242" s="33" t="s">
        <v>54</v>
      </c>
      <c r="C242" s="25">
        <v>905</v>
      </c>
      <c r="D242" s="13" t="s">
        <v>2</v>
      </c>
      <c r="E242" s="13" t="s">
        <v>30</v>
      </c>
      <c r="F242" s="13" t="s">
        <v>141</v>
      </c>
      <c r="G242" s="25">
        <v>1</v>
      </c>
      <c r="H242" s="13" t="s">
        <v>102</v>
      </c>
      <c r="I242" s="13" t="s">
        <v>104</v>
      </c>
      <c r="J242" s="13"/>
      <c r="K242" s="17">
        <f>SUM(K243:K246)</f>
        <v>25313.699999999997</v>
      </c>
      <c r="L242" s="17">
        <f>SUM(L243:L246)</f>
        <v>17011.7</v>
      </c>
      <c r="M242" s="17">
        <f t="shared" si="28"/>
        <v>67.203530104251868</v>
      </c>
    </row>
    <row r="243" spans="1:13" s="12" customFormat="1" ht="46.9" customHeight="1" x14ac:dyDescent="0.2">
      <c r="A243" s="89"/>
      <c r="B243" s="33" t="s">
        <v>55</v>
      </c>
      <c r="C243" s="25">
        <v>905</v>
      </c>
      <c r="D243" s="13" t="s">
        <v>2</v>
      </c>
      <c r="E243" s="13" t="s">
        <v>30</v>
      </c>
      <c r="F243" s="13" t="s">
        <v>141</v>
      </c>
      <c r="G243" s="25">
        <v>1</v>
      </c>
      <c r="H243" s="13" t="s">
        <v>102</v>
      </c>
      <c r="I243" s="13" t="s">
        <v>104</v>
      </c>
      <c r="J243" s="13" t="s">
        <v>56</v>
      </c>
      <c r="K243" s="17">
        <f>24422.6+244.1-6.2</f>
        <v>24660.499999999996</v>
      </c>
      <c r="L243" s="17">
        <v>16777.7</v>
      </c>
      <c r="M243" s="17">
        <f t="shared" si="28"/>
        <v>68.034711380547847</v>
      </c>
    </row>
    <row r="244" spans="1:13" s="12" customFormat="1" ht="31.5" x14ac:dyDescent="0.2">
      <c r="A244" s="89"/>
      <c r="B244" s="33" t="s">
        <v>175</v>
      </c>
      <c r="C244" s="25">
        <v>905</v>
      </c>
      <c r="D244" s="13" t="s">
        <v>2</v>
      </c>
      <c r="E244" s="13" t="s">
        <v>30</v>
      </c>
      <c r="F244" s="13" t="s">
        <v>141</v>
      </c>
      <c r="G244" s="25">
        <v>1</v>
      </c>
      <c r="H244" s="13" t="s">
        <v>102</v>
      </c>
      <c r="I244" s="13" t="s">
        <v>104</v>
      </c>
      <c r="J244" s="13" t="s">
        <v>58</v>
      </c>
      <c r="K244" s="17">
        <f>25050.1-24426.6+19.5</f>
        <v>643</v>
      </c>
      <c r="L244" s="17">
        <v>227.8</v>
      </c>
      <c r="M244" s="17">
        <f t="shared" si="28"/>
        <v>35.427682737169519</v>
      </c>
    </row>
    <row r="245" spans="1:13" s="12" customFormat="1" x14ac:dyDescent="0.2">
      <c r="A245" s="89"/>
      <c r="B245" s="33" t="s">
        <v>69</v>
      </c>
      <c r="C245" s="25">
        <v>905</v>
      </c>
      <c r="D245" s="13" t="s">
        <v>2</v>
      </c>
      <c r="E245" s="13" t="s">
        <v>30</v>
      </c>
      <c r="F245" s="13" t="s">
        <v>141</v>
      </c>
      <c r="G245" s="25">
        <v>1</v>
      </c>
      <c r="H245" s="13" t="s">
        <v>102</v>
      </c>
      <c r="I245" s="13" t="s">
        <v>104</v>
      </c>
      <c r="J245" s="13" t="s">
        <v>70</v>
      </c>
      <c r="K245" s="17">
        <v>6.2</v>
      </c>
      <c r="L245" s="17">
        <v>6.2</v>
      </c>
      <c r="M245" s="17">
        <f t="shared" si="28"/>
        <v>100</v>
      </c>
    </row>
    <row r="246" spans="1:13" s="12" customFormat="1" x14ac:dyDescent="0.2">
      <c r="A246" s="89"/>
      <c r="B246" s="33" t="s">
        <v>60</v>
      </c>
      <c r="C246" s="25">
        <v>905</v>
      </c>
      <c r="D246" s="13" t="s">
        <v>2</v>
      </c>
      <c r="E246" s="13" t="s">
        <v>30</v>
      </c>
      <c r="F246" s="13" t="s">
        <v>141</v>
      </c>
      <c r="G246" s="25">
        <v>1</v>
      </c>
      <c r="H246" s="13" t="s">
        <v>102</v>
      </c>
      <c r="I246" s="13" t="s">
        <v>104</v>
      </c>
      <c r="J246" s="13" t="s">
        <v>61</v>
      </c>
      <c r="K246" s="17">
        <v>4</v>
      </c>
      <c r="L246" s="17">
        <v>0</v>
      </c>
      <c r="M246" s="17">
        <f t="shared" si="28"/>
        <v>0</v>
      </c>
    </row>
    <row r="247" spans="1:13" s="12" customFormat="1" x14ac:dyDescent="0.2">
      <c r="A247" s="89"/>
      <c r="B247" s="33" t="s">
        <v>559</v>
      </c>
      <c r="C247" s="42">
        <v>905</v>
      </c>
      <c r="D247" s="26" t="s">
        <v>2</v>
      </c>
      <c r="E247" s="26" t="s">
        <v>8</v>
      </c>
      <c r="F247" s="13"/>
      <c r="G247" s="13"/>
      <c r="H247" s="13"/>
      <c r="I247" s="13"/>
      <c r="J247" s="26"/>
      <c r="K247" s="17">
        <f t="shared" ref="K247:L250" si="35">K248</f>
        <v>803</v>
      </c>
      <c r="L247" s="17">
        <f t="shared" si="35"/>
        <v>803</v>
      </c>
      <c r="M247" s="17">
        <f t="shared" si="28"/>
        <v>100</v>
      </c>
    </row>
    <row r="248" spans="1:13" s="12" customFormat="1" ht="46.9" customHeight="1" x14ac:dyDescent="0.2">
      <c r="A248" s="89"/>
      <c r="B248" s="33" t="s">
        <v>84</v>
      </c>
      <c r="C248" s="42">
        <v>905</v>
      </c>
      <c r="D248" s="26" t="s">
        <v>2</v>
      </c>
      <c r="E248" s="26" t="s">
        <v>8</v>
      </c>
      <c r="F248" s="13" t="s">
        <v>141</v>
      </c>
      <c r="G248" s="25"/>
      <c r="H248" s="13"/>
      <c r="I248" s="13"/>
      <c r="J248" s="13"/>
      <c r="K248" s="17">
        <f t="shared" si="35"/>
        <v>803</v>
      </c>
      <c r="L248" s="17">
        <f t="shared" si="35"/>
        <v>803</v>
      </c>
      <c r="M248" s="17">
        <f t="shared" si="28"/>
        <v>100</v>
      </c>
    </row>
    <row r="249" spans="1:13" s="12" customFormat="1" x14ac:dyDescent="0.2">
      <c r="A249" s="89"/>
      <c r="B249" s="33" t="s">
        <v>64</v>
      </c>
      <c r="C249" s="42">
        <v>905</v>
      </c>
      <c r="D249" s="26" t="s">
        <v>2</v>
      </c>
      <c r="E249" s="26" t="s">
        <v>8</v>
      </c>
      <c r="F249" s="13" t="s">
        <v>141</v>
      </c>
      <c r="G249" s="25">
        <v>2</v>
      </c>
      <c r="H249" s="13"/>
      <c r="I249" s="13"/>
      <c r="J249" s="13"/>
      <c r="K249" s="17">
        <f t="shared" si="35"/>
        <v>803</v>
      </c>
      <c r="L249" s="17">
        <f t="shared" si="35"/>
        <v>803</v>
      </c>
      <c r="M249" s="17">
        <f t="shared" si="28"/>
        <v>100</v>
      </c>
    </row>
    <row r="250" spans="1:13" s="12" customFormat="1" ht="31.5" x14ac:dyDescent="0.2">
      <c r="A250" s="89"/>
      <c r="B250" s="33" t="s">
        <v>83</v>
      </c>
      <c r="C250" s="42">
        <v>905</v>
      </c>
      <c r="D250" s="26" t="s">
        <v>2</v>
      </c>
      <c r="E250" s="26" t="s">
        <v>8</v>
      </c>
      <c r="F250" s="13" t="s">
        <v>141</v>
      </c>
      <c r="G250" s="25">
        <v>2</v>
      </c>
      <c r="H250" s="13" t="s">
        <v>102</v>
      </c>
      <c r="I250" s="13" t="s">
        <v>143</v>
      </c>
      <c r="J250" s="13"/>
      <c r="K250" s="17">
        <f t="shared" si="35"/>
        <v>803</v>
      </c>
      <c r="L250" s="17">
        <f t="shared" si="35"/>
        <v>803</v>
      </c>
      <c r="M250" s="17">
        <f t="shared" si="28"/>
        <v>100</v>
      </c>
    </row>
    <row r="251" spans="1:13" s="12" customFormat="1" x14ac:dyDescent="0.2">
      <c r="A251" s="89"/>
      <c r="B251" s="33" t="s">
        <v>22</v>
      </c>
      <c r="C251" s="42">
        <v>905</v>
      </c>
      <c r="D251" s="26" t="s">
        <v>2</v>
      </c>
      <c r="E251" s="26" t="s">
        <v>8</v>
      </c>
      <c r="F251" s="13" t="s">
        <v>141</v>
      </c>
      <c r="G251" s="25">
        <v>2</v>
      </c>
      <c r="H251" s="13" t="s">
        <v>102</v>
      </c>
      <c r="I251" s="13" t="s">
        <v>143</v>
      </c>
      <c r="J251" s="13" t="s">
        <v>73</v>
      </c>
      <c r="K251" s="17">
        <v>803</v>
      </c>
      <c r="L251" s="17">
        <v>803</v>
      </c>
      <c r="M251" s="17">
        <f t="shared" si="28"/>
        <v>100</v>
      </c>
    </row>
    <row r="252" spans="1:13" s="12" customFormat="1" ht="46.15" customHeight="1" x14ac:dyDescent="0.2">
      <c r="A252" s="89"/>
      <c r="B252" s="33" t="s">
        <v>84</v>
      </c>
      <c r="C252" s="42">
        <v>905</v>
      </c>
      <c r="D252" s="13" t="s">
        <v>2</v>
      </c>
      <c r="E252" s="13" t="s">
        <v>23</v>
      </c>
      <c r="F252" s="13" t="s">
        <v>141</v>
      </c>
      <c r="G252" s="25"/>
      <c r="H252" s="13"/>
      <c r="I252" s="13"/>
      <c r="J252" s="13"/>
      <c r="K252" s="17">
        <f t="shared" ref="K252:L253" si="36">SUM(K253)</f>
        <v>57.3</v>
      </c>
      <c r="L252" s="17">
        <f t="shared" si="36"/>
        <v>0</v>
      </c>
      <c r="M252" s="17">
        <f t="shared" si="28"/>
        <v>0</v>
      </c>
    </row>
    <row r="253" spans="1:13" s="12" customFormat="1" x14ac:dyDescent="0.2">
      <c r="A253" s="89"/>
      <c r="B253" s="33" t="s">
        <v>64</v>
      </c>
      <c r="C253" s="42">
        <v>905</v>
      </c>
      <c r="D253" s="13" t="s">
        <v>2</v>
      </c>
      <c r="E253" s="13" t="s">
        <v>23</v>
      </c>
      <c r="F253" s="13" t="s">
        <v>141</v>
      </c>
      <c r="G253" s="25">
        <v>2</v>
      </c>
      <c r="H253" s="13"/>
      <c r="I253" s="13"/>
      <c r="J253" s="13"/>
      <c r="K253" s="17">
        <f t="shared" si="36"/>
        <v>57.3</v>
      </c>
      <c r="L253" s="17">
        <f t="shared" si="36"/>
        <v>0</v>
      </c>
      <c r="M253" s="17">
        <f t="shared" si="28"/>
        <v>0</v>
      </c>
    </row>
    <row r="254" spans="1:13" s="12" customFormat="1" ht="31.5" x14ac:dyDescent="0.2">
      <c r="A254" s="89"/>
      <c r="B254" s="33" t="s">
        <v>83</v>
      </c>
      <c r="C254" s="42">
        <v>905</v>
      </c>
      <c r="D254" s="13" t="s">
        <v>2</v>
      </c>
      <c r="E254" s="13" t="s">
        <v>23</v>
      </c>
      <c r="F254" s="13" t="s">
        <v>141</v>
      </c>
      <c r="G254" s="25">
        <v>2</v>
      </c>
      <c r="H254" s="13" t="s">
        <v>102</v>
      </c>
      <c r="I254" s="13" t="s">
        <v>143</v>
      </c>
      <c r="J254" s="13"/>
      <c r="K254" s="17">
        <f>SUM(K255)</f>
        <v>57.3</v>
      </c>
      <c r="L254" s="17">
        <f>SUM(L255)</f>
        <v>0</v>
      </c>
      <c r="M254" s="17">
        <f t="shared" si="28"/>
        <v>0</v>
      </c>
    </row>
    <row r="255" spans="1:13" s="12" customFormat="1" x14ac:dyDescent="0.2">
      <c r="A255" s="89"/>
      <c r="B255" s="33" t="s">
        <v>60</v>
      </c>
      <c r="C255" s="42">
        <v>905</v>
      </c>
      <c r="D255" s="13" t="s">
        <v>2</v>
      </c>
      <c r="E255" s="13" t="s">
        <v>23</v>
      </c>
      <c r="F255" s="13" t="s">
        <v>141</v>
      </c>
      <c r="G255" s="25">
        <v>2</v>
      </c>
      <c r="H255" s="13" t="s">
        <v>102</v>
      </c>
      <c r="I255" s="13" t="s">
        <v>143</v>
      </c>
      <c r="J255" s="13" t="s">
        <v>61</v>
      </c>
      <c r="K255" s="17">
        <v>57.3</v>
      </c>
      <c r="L255" s="17">
        <v>0</v>
      </c>
      <c r="M255" s="17">
        <f t="shared" si="28"/>
        <v>0</v>
      </c>
    </row>
    <row r="256" spans="1:13" s="12" customFormat="1" x14ac:dyDescent="0.2">
      <c r="A256" s="89"/>
      <c r="B256" s="33" t="s">
        <v>9</v>
      </c>
      <c r="C256" s="42">
        <v>905</v>
      </c>
      <c r="D256" s="13" t="s">
        <v>2</v>
      </c>
      <c r="E256" s="13" t="s">
        <v>41</v>
      </c>
      <c r="F256" s="13"/>
      <c r="G256" s="25"/>
      <c r="H256" s="13"/>
      <c r="I256" s="13"/>
      <c r="J256" s="13"/>
      <c r="K256" s="17">
        <f>K257+K264</f>
        <v>451.9</v>
      </c>
      <c r="L256" s="17">
        <f>L257+L264</f>
        <v>276.39999999999998</v>
      </c>
      <c r="M256" s="17">
        <f t="shared" si="28"/>
        <v>61.163974330604113</v>
      </c>
    </row>
    <row r="257" spans="1:13" s="12" customFormat="1" ht="46.15" customHeight="1" x14ac:dyDescent="0.2">
      <c r="A257" s="89"/>
      <c r="B257" s="33" t="s">
        <v>253</v>
      </c>
      <c r="C257" s="42">
        <v>905</v>
      </c>
      <c r="D257" s="13" t="s">
        <v>2</v>
      </c>
      <c r="E257" s="13" t="s">
        <v>41</v>
      </c>
      <c r="F257" s="13" t="s">
        <v>8</v>
      </c>
      <c r="G257" s="25"/>
      <c r="H257" s="13"/>
      <c r="I257" s="13"/>
      <c r="J257" s="13"/>
      <c r="K257" s="17">
        <f>SUM(K258)</f>
        <v>451.9</v>
      </c>
      <c r="L257" s="17">
        <f>SUM(L258)</f>
        <v>276.39999999999998</v>
      </c>
      <c r="M257" s="17">
        <f t="shared" si="28"/>
        <v>61.163974330604113</v>
      </c>
    </row>
    <row r="258" spans="1:13" s="12" customFormat="1" ht="48" customHeight="1" x14ac:dyDescent="0.2">
      <c r="A258" s="89"/>
      <c r="B258" s="33" t="s">
        <v>254</v>
      </c>
      <c r="C258" s="42">
        <v>905</v>
      </c>
      <c r="D258" s="13" t="s">
        <v>2</v>
      </c>
      <c r="E258" s="13" t="s">
        <v>41</v>
      </c>
      <c r="F258" s="13" t="s">
        <v>8</v>
      </c>
      <c r="G258" s="25">
        <v>1</v>
      </c>
      <c r="H258" s="13"/>
      <c r="I258" s="13"/>
      <c r="J258" s="13"/>
      <c r="K258" s="17">
        <f>SUM(K259)</f>
        <v>451.9</v>
      </c>
      <c r="L258" s="17">
        <f>SUM(L259)</f>
        <v>276.39999999999998</v>
      </c>
      <c r="M258" s="17">
        <f t="shared" si="28"/>
        <v>61.163974330604113</v>
      </c>
    </row>
    <row r="259" spans="1:13" s="12" customFormat="1" ht="31.5" x14ac:dyDescent="0.2">
      <c r="A259" s="89"/>
      <c r="B259" s="33" t="s">
        <v>127</v>
      </c>
      <c r="C259" s="42">
        <v>905</v>
      </c>
      <c r="D259" s="13" t="s">
        <v>2</v>
      </c>
      <c r="E259" s="13" t="s">
        <v>41</v>
      </c>
      <c r="F259" s="13" t="s">
        <v>8</v>
      </c>
      <c r="G259" s="25">
        <v>1</v>
      </c>
      <c r="H259" s="13" t="s">
        <v>4</v>
      </c>
      <c r="I259" s="13"/>
      <c r="J259" s="13"/>
      <c r="K259" s="17">
        <f>SUM(K260+K262)</f>
        <v>451.9</v>
      </c>
      <c r="L259" s="17">
        <f>SUM(L260+L262)</f>
        <v>276.39999999999998</v>
      </c>
      <c r="M259" s="17">
        <f t="shared" si="28"/>
        <v>61.163974330604113</v>
      </c>
    </row>
    <row r="260" spans="1:13" s="12" customFormat="1" ht="31.15" customHeight="1" x14ac:dyDescent="0.2">
      <c r="A260" s="89"/>
      <c r="B260" s="33" t="s">
        <v>456</v>
      </c>
      <c r="C260" s="42">
        <v>905</v>
      </c>
      <c r="D260" s="13" t="s">
        <v>2</v>
      </c>
      <c r="E260" s="13" t="s">
        <v>41</v>
      </c>
      <c r="F260" s="13" t="s">
        <v>8</v>
      </c>
      <c r="G260" s="25">
        <v>1</v>
      </c>
      <c r="H260" s="13" t="s">
        <v>4</v>
      </c>
      <c r="I260" s="13" t="s">
        <v>455</v>
      </c>
      <c r="J260" s="13"/>
      <c r="K260" s="17">
        <f>K261</f>
        <v>111.1</v>
      </c>
      <c r="L260" s="17">
        <f>L261</f>
        <v>0</v>
      </c>
      <c r="M260" s="17">
        <f t="shared" si="28"/>
        <v>0</v>
      </c>
    </row>
    <row r="261" spans="1:13" s="12" customFormat="1" ht="31.5" x14ac:dyDescent="0.2">
      <c r="A261" s="89"/>
      <c r="B261" s="33" t="s">
        <v>175</v>
      </c>
      <c r="C261" s="42">
        <v>905</v>
      </c>
      <c r="D261" s="13" t="s">
        <v>2</v>
      </c>
      <c r="E261" s="13" t="s">
        <v>41</v>
      </c>
      <c r="F261" s="13" t="s">
        <v>8</v>
      </c>
      <c r="G261" s="25">
        <v>1</v>
      </c>
      <c r="H261" s="13" t="s">
        <v>4</v>
      </c>
      <c r="I261" s="13" t="s">
        <v>455</v>
      </c>
      <c r="J261" s="13" t="s">
        <v>58</v>
      </c>
      <c r="K261" s="17">
        <v>111.1</v>
      </c>
      <c r="L261" s="17">
        <v>0</v>
      </c>
      <c r="M261" s="17">
        <f t="shared" si="28"/>
        <v>0</v>
      </c>
    </row>
    <row r="262" spans="1:13" s="12" customFormat="1" ht="31.5" x14ac:dyDescent="0.2">
      <c r="A262" s="89"/>
      <c r="B262" s="33" t="s">
        <v>460</v>
      </c>
      <c r="C262" s="42">
        <v>905</v>
      </c>
      <c r="D262" s="13" t="s">
        <v>2</v>
      </c>
      <c r="E262" s="13" t="s">
        <v>41</v>
      </c>
      <c r="F262" s="13" t="s">
        <v>8</v>
      </c>
      <c r="G262" s="25">
        <v>1</v>
      </c>
      <c r="H262" s="13" t="s">
        <v>4</v>
      </c>
      <c r="I262" s="13" t="s">
        <v>461</v>
      </c>
      <c r="J262" s="13"/>
      <c r="K262" s="17">
        <f>K263</f>
        <v>340.8</v>
      </c>
      <c r="L262" s="17">
        <f>L263</f>
        <v>276.39999999999998</v>
      </c>
      <c r="M262" s="17">
        <f t="shared" si="28"/>
        <v>81.103286384976514</v>
      </c>
    </row>
    <row r="263" spans="1:13" s="12" customFormat="1" ht="31.5" x14ac:dyDescent="0.2">
      <c r="A263" s="89"/>
      <c r="B263" s="33" t="s">
        <v>175</v>
      </c>
      <c r="C263" s="42">
        <v>905</v>
      </c>
      <c r="D263" s="13" t="s">
        <v>2</v>
      </c>
      <c r="E263" s="13" t="s">
        <v>41</v>
      </c>
      <c r="F263" s="13" t="s">
        <v>8</v>
      </c>
      <c r="G263" s="25">
        <v>1</v>
      </c>
      <c r="H263" s="13" t="s">
        <v>4</v>
      </c>
      <c r="I263" s="13" t="s">
        <v>461</v>
      </c>
      <c r="J263" s="13" t="s">
        <v>58</v>
      </c>
      <c r="K263" s="17">
        <v>340.8</v>
      </c>
      <c r="L263" s="17">
        <v>276.39999999999998</v>
      </c>
      <c r="M263" s="17">
        <f t="shared" si="28"/>
        <v>81.103286384976514</v>
      </c>
    </row>
    <row r="264" spans="1:13" s="12" customFormat="1" ht="47.45" customHeight="1" x14ac:dyDescent="0.2">
      <c r="A264" s="89"/>
      <c r="B264" s="33" t="s">
        <v>84</v>
      </c>
      <c r="C264" s="42">
        <v>905</v>
      </c>
      <c r="D264" s="13" t="s">
        <v>2</v>
      </c>
      <c r="E264" s="13" t="s">
        <v>41</v>
      </c>
      <c r="F264" s="13" t="s">
        <v>141</v>
      </c>
      <c r="G264" s="25"/>
      <c r="H264" s="13"/>
      <c r="I264" s="13"/>
      <c r="J264" s="13"/>
      <c r="K264" s="17">
        <f t="shared" ref="K264:L266" si="37">K265</f>
        <v>0</v>
      </c>
      <c r="L264" s="17">
        <f t="shared" si="37"/>
        <v>0</v>
      </c>
      <c r="M264" s="17"/>
    </row>
    <row r="265" spans="1:13" s="12" customFormat="1" x14ac:dyDescent="0.2">
      <c r="A265" s="89"/>
      <c r="B265" s="33" t="s">
        <v>64</v>
      </c>
      <c r="C265" s="42">
        <v>905</v>
      </c>
      <c r="D265" s="13" t="s">
        <v>2</v>
      </c>
      <c r="E265" s="13" t="s">
        <v>41</v>
      </c>
      <c r="F265" s="13" t="s">
        <v>141</v>
      </c>
      <c r="G265" s="25">
        <v>2</v>
      </c>
      <c r="H265" s="13"/>
      <c r="I265" s="13"/>
      <c r="J265" s="13"/>
      <c r="K265" s="17">
        <f t="shared" si="37"/>
        <v>0</v>
      </c>
      <c r="L265" s="17">
        <f t="shared" si="37"/>
        <v>0</v>
      </c>
      <c r="M265" s="17"/>
    </row>
    <row r="266" spans="1:13" s="12" customFormat="1" ht="31.5" x14ac:dyDescent="0.2">
      <c r="A266" s="89"/>
      <c r="B266" s="33" t="s">
        <v>83</v>
      </c>
      <c r="C266" s="42">
        <v>905</v>
      </c>
      <c r="D266" s="13" t="s">
        <v>2</v>
      </c>
      <c r="E266" s="13" t="s">
        <v>41</v>
      </c>
      <c r="F266" s="13" t="s">
        <v>141</v>
      </c>
      <c r="G266" s="25">
        <v>2</v>
      </c>
      <c r="H266" s="13" t="s">
        <v>102</v>
      </c>
      <c r="I266" s="13" t="s">
        <v>143</v>
      </c>
      <c r="J266" s="13"/>
      <c r="K266" s="17">
        <f t="shared" si="37"/>
        <v>0</v>
      </c>
      <c r="L266" s="17">
        <f t="shared" si="37"/>
        <v>0</v>
      </c>
      <c r="M266" s="17"/>
    </row>
    <row r="267" spans="1:13" s="12" customFormat="1" x14ac:dyDescent="0.2">
      <c r="A267" s="89"/>
      <c r="B267" s="33" t="s">
        <v>22</v>
      </c>
      <c r="C267" s="42">
        <v>905</v>
      </c>
      <c r="D267" s="13" t="s">
        <v>2</v>
      </c>
      <c r="E267" s="13" t="s">
        <v>41</v>
      </c>
      <c r="F267" s="13" t="s">
        <v>141</v>
      </c>
      <c r="G267" s="25">
        <v>2</v>
      </c>
      <c r="H267" s="13" t="s">
        <v>102</v>
      </c>
      <c r="I267" s="13" t="s">
        <v>143</v>
      </c>
      <c r="J267" s="13" t="s">
        <v>73</v>
      </c>
      <c r="K267" s="17">
        <v>0</v>
      </c>
      <c r="L267" s="17">
        <v>0</v>
      </c>
      <c r="M267" s="17"/>
    </row>
    <row r="268" spans="1:13" s="12" customFormat="1" ht="31.15" customHeight="1" x14ac:dyDescent="0.2">
      <c r="A268" s="89"/>
      <c r="B268" s="33" t="s">
        <v>14</v>
      </c>
      <c r="C268" s="42">
        <v>905</v>
      </c>
      <c r="D268" s="26" t="s">
        <v>5</v>
      </c>
      <c r="E268" s="26"/>
      <c r="F268" s="13"/>
      <c r="G268" s="25"/>
      <c r="H268" s="13"/>
      <c r="I268" s="13"/>
      <c r="J268" s="13"/>
      <c r="K268" s="17">
        <f t="shared" ref="K268:L272" si="38">K269</f>
        <v>3840.7999999999997</v>
      </c>
      <c r="L268" s="17">
        <f t="shared" si="38"/>
        <v>320.2</v>
      </c>
      <c r="M268" s="17">
        <f t="shared" si="28"/>
        <v>8.3368048323265977</v>
      </c>
    </row>
    <row r="269" spans="1:13" s="12" customFormat="1" ht="46.9" customHeight="1" x14ac:dyDescent="0.2">
      <c r="A269" s="89"/>
      <c r="B269" s="33" t="s">
        <v>412</v>
      </c>
      <c r="C269" s="42">
        <v>905</v>
      </c>
      <c r="D269" s="26" t="s">
        <v>5</v>
      </c>
      <c r="E269" s="13" t="s">
        <v>21</v>
      </c>
      <c r="F269" s="13"/>
      <c r="G269" s="25"/>
      <c r="H269" s="13"/>
      <c r="I269" s="13"/>
      <c r="J269" s="13"/>
      <c r="K269" s="17">
        <f t="shared" si="38"/>
        <v>3840.7999999999997</v>
      </c>
      <c r="L269" s="17">
        <f t="shared" si="38"/>
        <v>320.2</v>
      </c>
      <c r="M269" s="17">
        <f t="shared" si="28"/>
        <v>8.3368048323265977</v>
      </c>
    </row>
    <row r="270" spans="1:13" s="12" customFormat="1" ht="48.6" customHeight="1" x14ac:dyDescent="0.2">
      <c r="A270" s="89"/>
      <c r="B270" s="33" t="s">
        <v>84</v>
      </c>
      <c r="C270" s="42">
        <v>905</v>
      </c>
      <c r="D270" s="26" t="s">
        <v>5</v>
      </c>
      <c r="E270" s="13" t="s">
        <v>21</v>
      </c>
      <c r="F270" s="13" t="s">
        <v>141</v>
      </c>
      <c r="G270" s="25"/>
      <c r="H270" s="13"/>
      <c r="I270" s="13"/>
      <c r="J270" s="13"/>
      <c r="K270" s="17">
        <f t="shared" si="38"/>
        <v>3840.7999999999997</v>
      </c>
      <c r="L270" s="17">
        <f t="shared" si="38"/>
        <v>320.2</v>
      </c>
      <c r="M270" s="17">
        <f t="shared" si="28"/>
        <v>8.3368048323265977</v>
      </c>
    </row>
    <row r="271" spans="1:13" s="12" customFormat="1" x14ac:dyDescent="0.2">
      <c r="A271" s="89"/>
      <c r="B271" s="33" t="s">
        <v>64</v>
      </c>
      <c r="C271" s="42">
        <v>905</v>
      </c>
      <c r="D271" s="26" t="s">
        <v>5</v>
      </c>
      <c r="E271" s="13" t="s">
        <v>21</v>
      </c>
      <c r="F271" s="13" t="s">
        <v>141</v>
      </c>
      <c r="G271" s="25">
        <v>2</v>
      </c>
      <c r="H271" s="13"/>
      <c r="I271" s="13"/>
      <c r="J271" s="13"/>
      <c r="K271" s="17">
        <f t="shared" si="38"/>
        <v>3840.7999999999997</v>
      </c>
      <c r="L271" s="17">
        <f t="shared" si="38"/>
        <v>320.2</v>
      </c>
      <c r="M271" s="17">
        <f t="shared" si="28"/>
        <v>8.3368048323265977</v>
      </c>
    </row>
    <row r="272" spans="1:13" s="12" customFormat="1" ht="31.5" x14ac:dyDescent="0.2">
      <c r="A272" s="89"/>
      <c r="B272" s="33" t="s">
        <v>83</v>
      </c>
      <c r="C272" s="42">
        <v>905</v>
      </c>
      <c r="D272" s="26" t="s">
        <v>5</v>
      </c>
      <c r="E272" s="13" t="s">
        <v>21</v>
      </c>
      <c r="F272" s="13" t="s">
        <v>141</v>
      </c>
      <c r="G272" s="25">
        <v>2</v>
      </c>
      <c r="H272" s="13" t="s">
        <v>102</v>
      </c>
      <c r="I272" s="13" t="s">
        <v>143</v>
      </c>
      <c r="J272" s="13"/>
      <c r="K272" s="17">
        <f t="shared" si="38"/>
        <v>3840.7999999999997</v>
      </c>
      <c r="L272" s="17">
        <f t="shared" si="38"/>
        <v>320.2</v>
      </c>
      <c r="M272" s="17">
        <f t="shared" si="28"/>
        <v>8.3368048323265977</v>
      </c>
    </row>
    <row r="273" spans="1:13" s="12" customFormat="1" x14ac:dyDescent="0.2">
      <c r="A273" s="89"/>
      <c r="B273" s="33" t="s">
        <v>22</v>
      </c>
      <c r="C273" s="42">
        <v>905</v>
      </c>
      <c r="D273" s="26" t="s">
        <v>5</v>
      </c>
      <c r="E273" s="13" t="s">
        <v>21</v>
      </c>
      <c r="F273" s="13" t="s">
        <v>141</v>
      </c>
      <c r="G273" s="25">
        <v>2</v>
      </c>
      <c r="H273" s="13" t="s">
        <v>102</v>
      </c>
      <c r="I273" s="13" t="s">
        <v>143</v>
      </c>
      <c r="J273" s="13" t="s">
        <v>73</v>
      </c>
      <c r="K273" s="17">
        <f>320.2+3520.6</f>
        <v>3840.7999999999997</v>
      </c>
      <c r="L273" s="17">
        <v>320.2</v>
      </c>
      <c r="M273" s="17">
        <f t="shared" si="28"/>
        <v>8.3368048323265977</v>
      </c>
    </row>
    <row r="274" spans="1:13" s="12" customFormat="1" x14ac:dyDescent="0.2">
      <c r="A274" s="89"/>
      <c r="B274" s="33" t="s">
        <v>15</v>
      </c>
      <c r="C274" s="42">
        <v>905</v>
      </c>
      <c r="D274" s="13" t="s">
        <v>6</v>
      </c>
      <c r="E274" s="13"/>
      <c r="F274" s="26"/>
      <c r="G274" s="59"/>
      <c r="H274" s="26"/>
      <c r="I274" s="26"/>
      <c r="J274" s="13"/>
      <c r="K274" s="17">
        <f>SUM(K280+K275)</f>
        <v>4642.8999999999996</v>
      </c>
      <c r="L274" s="17">
        <f>SUM(L280+L275)</f>
        <v>3484.4</v>
      </c>
      <c r="M274" s="17">
        <f t="shared" si="28"/>
        <v>75.047922634560308</v>
      </c>
    </row>
    <row r="275" spans="1:13" s="12" customFormat="1" x14ac:dyDescent="0.2">
      <c r="A275" s="89"/>
      <c r="B275" s="33" t="s">
        <v>65</v>
      </c>
      <c r="C275" s="42">
        <v>905</v>
      </c>
      <c r="D275" s="13" t="s">
        <v>6</v>
      </c>
      <c r="E275" s="13" t="s">
        <v>24</v>
      </c>
      <c r="F275" s="26"/>
      <c r="G275" s="59"/>
      <c r="H275" s="26"/>
      <c r="I275" s="26"/>
      <c r="J275" s="13"/>
      <c r="K275" s="17">
        <f t="shared" ref="K275:L278" si="39">K276</f>
        <v>600</v>
      </c>
      <c r="L275" s="17">
        <f t="shared" si="39"/>
        <v>600</v>
      </c>
      <c r="M275" s="17">
        <f t="shared" si="28"/>
        <v>100</v>
      </c>
    </row>
    <row r="276" spans="1:13" s="12" customFormat="1" ht="49.9" customHeight="1" x14ac:dyDescent="0.2">
      <c r="A276" s="89"/>
      <c r="B276" s="33" t="s">
        <v>84</v>
      </c>
      <c r="C276" s="42">
        <v>905</v>
      </c>
      <c r="D276" s="13" t="s">
        <v>6</v>
      </c>
      <c r="E276" s="13" t="s">
        <v>24</v>
      </c>
      <c r="F276" s="13" t="s">
        <v>141</v>
      </c>
      <c r="G276" s="25"/>
      <c r="H276" s="13"/>
      <c r="I276" s="13"/>
      <c r="J276" s="13"/>
      <c r="K276" s="17">
        <f t="shared" si="39"/>
        <v>600</v>
      </c>
      <c r="L276" s="17">
        <f t="shared" si="39"/>
        <v>600</v>
      </c>
      <c r="M276" s="17">
        <f t="shared" ref="M276:M339" si="40">L276/K276*100</f>
        <v>100</v>
      </c>
    </row>
    <row r="277" spans="1:13" s="12" customFormat="1" x14ac:dyDescent="0.2">
      <c r="A277" s="89"/>
      <c r="B277" s="33" t="s">
        <v>64</v>
      </c>
      <c r="C277" s="42">
        <v>905</v>
      </c>
      <c r="D277" s="13" t="s">
        <v>6</v>
      </c>
      <c r="E277" s="13" t="s">
        <v>24</v>
      </c>
      <c r="F277" s="13" t="s">
        <v>141</v>
      </c>
      <c r="G277" s="25">
        <v>2</v>
      </c>
      <c r="H277" s="13"/>
      <c r="I277" s="13"/>
      <c r="J277" s="13"/>
      <c r="K277" s="17">
        <f t="shared" si="39"/>
        <v>600</v>
      </c>
      <c r="L277" s="17">
        <f t="shared" si="39"/>
        <v>600</v>
      </c>
      <c r="M277" s="17">
        <f t="shared" si="40"/>
        <v>100</v>
      </c>
    </row>
    <row r="278" spans="1:13" s="12" customFormat="1" ht="31.5" x14ac:dyDescent="0.2">
      <c r="A278" s="89"/>
      <c r="B278" s="33" t="s">
        <v>83</v>
      </c>
      <c r="C278" s="42">
        <v>905</v>
      </c>
      <c r="D278" s="13" t="s">
        <v>6</v>
      </c>
      <c r="E278" s="13" t="s">
        <v>24</v>
      </c>
      <c r="F278" s="13" t="s">
        <v>141</v>
      </c>
      <c r="G278" s="25">
        <v>2</v>
      </c>
      <c r="H278" s="13" t="s">
        <v>102</v>
      </c>
      <c r="I278" s="13" t="s">
        <v>143</v>
      </c>
      <c r="J278" s="13"/>
      <c r="K278" s="17">
        <f t="shared" si="39"/>
        <v>600</v>
      </c>
      <c r="L278" s="17">
        <f t="shared" si="39"/>
        <v>600</v>
      </c>
      <c r="M278" s="17">
        <f t="shared" si="40"/>
        <v>100</v>
      </c>
    </row>
    <row r="279" spans="1:13" s="12" customFormat="1" x14ac:dyDescent="0.2">
      <c r="A279" s="89"/>
      <c r="B279" s="33" t="s">
        <v>22</v>
      </c>
      <c r="C279" s="42">
        <v>905</v>
      </c>
      <c r="D279" s="13" t="s">
        <v>6</v>
      </c>
      <c r="E279" s="13" t="s">
        <v>24</v>
      </c>
      <c r="F279" s="13" t="s">
        <v>141</v>
      </c>
      <c r="G279" s="25">
        <v>2</v>
      </c>
      <c r="H279" s="13" t="s">
        <v>102</v>
      </c>
      <c r="I279" s="13" t="s">
        <v>143</v>
      </c>
      <c r="J279" s="13" t="s">
        <v>73</v>
      </c>
      <c r="K279" s="17">
        <v>600</v>
      </c>
      <c r="L279" s="17">
        <v>600</v>
      </c>
      <c r="M279" s="17">
        <f t="shared" si="40"/>
        <v>100</v>
      </c>
    </row>
    <row r="280" spans="1:13" s="12" customFormat="1" x14ac:dyDescent="0.2">
      <c r="A280" s="89"/>
      <c r="B280" s="33" t="s">
        <v>92</v>
      </c>
      <c r="C280" s="42">
        <v>905</v>
      </c>
      <c r="D280" s="13" t="s">
        <v>6</v>
      </c>
      <c r="E280" s="13" t="s">
        <v>93</v>
      </c>
      <c r="F280" s="13"/>
      <c r="G280" s="13"/>
      <c r="H280" s="13"/>
      <c r="I280" s="13"/>
      <c r="J280" s="13"/>
      <c r="K280" s="17">
        <f t="shared" ref="K280:L284" si="41">SUM(K281)</f>
        <v>4042.9</v>
      </c>
      <c r="L280" s="17">
        <f t="shared" si="41"/>
        <v>2884.4</v>
      </c>
      <c r="M280" s="17">
        <f t="shared" si="40"/>
        <v>71.344826733285515</v>
      </c>
    </row>
    <row r="281" spans="1:13" s="12" customFormat="1" ht="47.45" customHeight="1" x14ac:dyDescent="0.2">
      <c r="A281" s="89"/>
      <c r="B281" s="50" t="s">
        <v>273</v>
      </c>
      <c r="C281" s="42">
        <v>905</v>
      </c>
      <c r="D281" s="13" t="s">
        <v>6</v>
      </c>
      <c r="E281" s="13" t="s">
        <v>93</v>
      </c>
      <c r="F281" s="13" t="s">
        <v>8</v>
      </c>
      <c r="G281" s="13"/>
      <c r="H281" s="13"/>
      <c r="I281" s="13"/>
      <c r="J281" s="13"/>
      <c r="K281" s="17">
        <f t="shared" si="41"/>
        <v>4042.9</v>
      </c>
      <c r="L281" s="17">
        <f t="shared" si="41"/>
        <v>2884.4</v>
      </c>
      <c r="M281" s="17">
        <f t="shared" si="40"/>
        <v>71.344826733285515</v>
      </c>
    </row>
    <row r="282" spans="1:13" s="12" customFormat="1" ht="49.15" customHeight="1" x14ac:dyDescent="0.2">
      <c r="A282" s="89"/>
      <c r="B282" s="50" t="s">
        <v>254</v>
      </c>
      <c r="C282" s="42">
        <v>905</v>
      </c>
      <c r="D282" s="13" t="s">
        <v>6</v>
      </c>
      <c r="E282" s="13" t="s">
        <v>93</v>
      </c>
      <c r="F282" s="13" t="s">
        <v>8</v>
      </c>
      <c r="G282" s="13" t="s">
        <v>126</v>
      </c>
      <c r="H282" s="13"/>
      <c r="I282" s="13"/>
      <c r="J282" s="13"/>
      <c r="K282" s="17">
        <f t="shared" si="41"/>
        <v>4042.9</v>
      </c>
      <c r="L282" s="17">
        <f t="shared" si="41"/>
        <v>2884.4</v>
      </c>
      <c r="M282" s="17">
        <f t="shared" si="40"/>
        <v>71.344826733285515</v>
      </c>
    </row>
    <row r="283" spans="1:13" s="12" customFormat="1" ht="33.6" customHeight="1" x14ac:dyDescent="0.2">
      <c r="A283" s="89"/>
      <c r="B283" s="50" t="s">
        <v>127</v>
      </c>
      <c r="C283" s="42">
        <v>905</v>
      </c>
      <c r="D283" s="13" t="s">
        <v>6</v>
      </c>
      <c r="E283" s="13" t="s">
        <v>93</v>
      </c>
      <c r="F283" s="13" t="s">
        <v>8</v>
      </c>
      <c r="G283" s="13" t="s">
        <v>126</v>
      </c>
      <c r="H283" s="13" t="s">
        <v>4</v>
      </c>
      <c r="I283" s="13"/>
      <c r="J283" s="13"/>
      <c r="K283" s="17">
        <f t="shared" si="41"/>
        <v>4042.9</v>
      </c>
      <c r="L283" s="17">
        <f t="shared" si="41"/>
        <v>2884.4</v>
      </c>
      <c r="M283" s="17">
        <f t="shared" si="40"/>
        <v>71.344826733285515</v>
      </c>
    </row>
    <row r="284" spans="1:13" s="12" customFormat="1" ht="31.5" x14ac:dyDescent="0.2">
      <c r="A284" s="89"/>
      <c r="B284" s="55" t="s">
        <v>463</v>
      </c>
      <c r="C284" s="42">
        <v>905</v>
      </c>
      <c r="D284" s="13" t="s">
        <v>6</v>
      </c>
      <c r="E284" s="13" t="s">
        <v>93</v>
      </c>
      <c r="F284" s="13" t="s">
        <v>8</v>
      </c>
      <c r="G284" s="13" t="s">
        <v>126</v>
      </c>
      <c r="H284" s="13" t="s">
        <v>4</v>
      </c>
      <c r="I284" s="13" t="s">
        <v>462</v>
      </c>
      <c r="J284" s="13"/>
      <c r="K284" s="17">
        <f t="shared" si="41"/>
        <v>4042.9</v>
      </c>
      <c r="L284" s="17">
        <f t="shared" si="41"/>
        <v>2884.4</v>
      </c>
      <c r="M284" s="17">
        <f t="shared" si="40"/>
        <v>71.344826733285515</v>
      </c>
    </row>
    <row r="285" spans="1:13" s="12" customFormat="1" ht="31.5" x14ac:dyDescent="0.2">
      <c r="A285" s="89"/>
      <c r="B285" s="33" t="s">
        <v>175</v>
      </c>
      <c r="C285" s="42">
        <v>905</v>
      </c>
      <c r="D285" s="13" t="s">
        <v>6</v>
      </c>
      <c r="E285" s="13" t="s">
        <v>93</v>
      </c>
      <c r="F285" s="13" t="s">
        <v>8</v>
      </c>
      <c r="G285" s="13" t="s">
        <v>126</v>
      </c>
      <c r="H285" s="13" t="s">
        <v>4</v>
      </c>
      <c r="I285" s="13" t="s">
        <v>462</v>
      </c>
      <c r="J285" s="13" t="s">
        <v>58</v>
      </c>
      <c r="K285" s="17">
        <v>4042.9</v>
      </c>
      <c r="L285" s="17">
        <v>2884.4</v>
      </c>
      <c r="M285" s="17">
        <f t="shared" si="40"/>
        <v>71.344826733285515</v>
      </c>
    </row>
    <row r="286" spans="1:13" s="12" customFormat="1" x14ac:dyDescent="0.2">
      <c r="A286" s="89"/>
      <c r="B286" s="33" t="s">
        <v>42</v>
      </c>
      <c r="C286" s="42">
        <v>905</v>
      </c>
      <c r="D286" s="13" t="s">
        <v>7</v>
      </c>
      <c r="E286" s="13"/>
      <c r="F286" s="13"/>
      <c r="G286" s="13"/>
      <c r="H286" s="13"/>
      <c r="I286" s="13"/>
      <c r="J286" s="13"/>
      <c r="K286" s="17">
        <f>K292+K287</f>
        <v>4922.3999999999996</v>
      </c>
      <c r="L286" s="17">
        <f>L292+L287</f>
        <v>4922.3999999999996</v>
      </c>
      <c r="M286" s="17">
        <f t="shared" si="40"/>
        <v>100</v>
      </c>
    </row>
    <row r="287" spans="1:13" s="12" customFormat="1" x14ac:dyDescent="0.2">
      <c r="A287" s="89"/>
      <c r="B287" s="33" t="s">
        <v>509</v>
      </c>
      <c r="C287" s="42">
        <v>905</v>
      </c>
      <c r="D287" s="13" t="s">
        <v>7</v>
      </c>
      <c r="E287" s="13" t="s">
        <v>4</v>
      </c>
      <c r="F287" s="13"/>
      <c r="G287" s="13"/>
      <c r="H287" s="13"/>
      <c r="I287" s="13"/>
      <c r="J287" s="13"/>
      <c r="K287" s="17">
        <f t="shared" ref="K287:L290" si="42">K288</f>
        <v>4922.3999999999996</v>
      </c>
      <c r="L287" s="17">
        <f t="shared" si="42"/>
        <v>4922.3999999999996</v>
      </c>
      <c r="M287" s="17">
        <f t="shared" si="40"/>
        <v>100</v>
      </c>
    </row>
    <row r="288" spans="1:13" s="12" customFormat="1" ht="47.25" x14ac:dyDescent="0.2">
      <c r="A288" s="89"/>
      <c r="B288" s="33" t="s">
        <v>84</v>
      </c>
      <c r="C288" s="42">
        <v>905</v>
      </c>
      <c r="D288" s="13" t="s">
        <v>7</v>
      </c>
      <c r="E288" s="13" t="s">
        <v>4</v>
      </c>
      <c r="F288" s="13" t="s">
        <v>141</v>
      </c>
      <c r="G288" s="25"/>
      <c r="H288" s="13"/>
      <c r="I288" s="13"/>
      <c r="J288" s="13"/>
      <c r="K288" s="17">
        <f t="shared" si="42"/>
        <v>4922.3999999999996</v>
      </c>
      <c r="L288" s="17">
        <f t="shared" si="42"/>
        <v>4922.3999999999996</v>
      </c>
      <c r="M288" s="17">
        <f t="shared" si="40"/>
        <v>100</v>
      </c>
    </row>
    <row r="289" spans="1:13" s="12" customFormat="1" x14ac:dyDescent="0.2">
      <c r="A289" s="89"/>
      <c r="B289" s="33" t="s">
        <v>64</v>
      </c>
      <c r="C289" s="42">
        <v>905</v>
      </c>
      <c r="D289" s="13" t="s">
        <v>7</v>
      </c>
      <c r="E289" s="13" t="s">
        <v>4</v>
      </c>
      <c r="F289" s="13" t="s">
        <v>141</v>
      </c>
      <c r="G289" s="25">
        <v>2</v>
      </c>
      <c r="H289" s="13"/>
      <c r="I289" s="13"/>
      <c r="J289" s="13"/>
      <c r="K289" s="17">
        <f t="shared" si="42"/>
        <v>4922.3999999999996</v>
      </c>
      <c r="L289" s="17">
        <f t="shared" si="42"/>
        <v>4922.3999999999996</v>
      </c>
      <c r="M289" s="17">
        <f t="shared" si="40"/>
        <v>100</v>
      </c>
    </row>
    <row r="290" spans="1:13" s="12" customFormat="1" ht="31.5" x14ac:dyDescent="0.2">
      <c r="A290" s="89"/>
      <c r="B290" s="33" t="s">
        <v>83</v>
      </c>
      <c r="C290" s="42">
        <v>905</v>
      </c>
      <c r="D290" s="13" t="s">
        <v>7</v>
      </c>
      <c r="E290" s="13" t="s">
        <v>4</v>
      </c>
      <c r="F290" s="13" t="s">
        <v>141</v>
      </c>
      <c r="G290" s="25">
        <v>2</v>
      </c>
      <c r="H290" s="13" t="s">
        <v>102</v>
      </c>
      <c r="I290" s="13" t="s">
        <v>143</v>
      </c>
      <c r="J290" s="13"/>
      <c r="K290" s="17">
        <f t="shared" si="42"/>
        <v>4922.3999999999996</v>
      </c>
      <c r="L290" s="17">
        <f t="shared" si="42"/>
        <v>4922.3999999999996</v>
      </c>
      <c r="M290" s="17">
        <f t="shared" si="40"/>
        <v>100</v>
      </c>
    </row>
    <row r="291" spans="1:13" s="12" customFormat="1" x14ac:dyDescent="0.2">
      <c r="A291" s="89"/>
      <c r="B291" s="33" t="s">
        <v>22</v>
      </c>
      <c r="C291" s="42">
        <v>905</v>
      </c>
      <c r="D291" s="13" t="s">
        <v>7</v>
      </c>
      <c r="E291" s="13" t="s">
        <v>4</v>
      </c>
      <c r="F291" s="13" t="s">
        <v>141</v>
      </c>
      <c r="G291" s="25">
        <v>2</v>
      </c>
      <c r="H291" s="13" t="s">
        <v>102</v>
      </c>
      <c r="I291" s="13" t="s">
        <v>143</v>
      </c>
      <c r="J291" s="13" t="s">
        <v>73</v>
      </c>
      <c r="K291" s="17">
        <f>1922.4+3000</f>
        <v>4922.3999999999996</v>
      </c>
      <c r="L291" s="17">
        <v>4922.3999999999996</v>
      </c>
      <c r="M291" s="17">
        <f t="shared" si="40"/>
        <v>100</v>
      </c>
    </row>
    <row r="292" spans="1:13" s="12" customFormat="1" x14ac:dyDescent="0.2">
      <c r="A292" s="89"/>
      <c r="B292" s="33" t="s">
        <v>491</v>
      </c>
      <c r="C292" s="42">
        <v>905</v>
      </c>
      <c r="D292" s="13" t="s">
        <v>7</v>
      </c>
      <c r="E292" s="13" t="s">
        <v>5</v>
      </c>
      <c r="F292" s="13"/>
      <c r="G292" s="13"/>
      <c r="H292" s="13"/>
      <c r="I292" s="13"/>
      <c r="J292" s="13"/>
      <c r="K292" s="17">
        <f t="shared" ref="K292:L295" si="43">K293</f>
        <v>0</v>
      </c>
      <c r="L292" s="17">
        <f t="shared" si="43"/>
        <v>0</v>
      </c>
      <c r="M292" s="17"/>
    </row>
    <row r="293" spans="1:13" s="12" customFormat="1" ht="48" customHeight="1" x14ac:dyDescent="0.2">
      <c r="A293" s="89"/>
      <c r="B293" s="33" t="s">
        <v>84</v>
      </c>
      <c r="C293" s="42">
        <v>905</v>
      </c>
      <c r="D293" s="13" t="s">
        <v>7</v>
      </c>
      <c r="E293" s="13" t="s">
        <v>5</v>
      </c>
      <c r="F293" s="13" t="s">
        <v>141</v>
      </c>
      <c r="G293" s="25"/>
      <c r="H293" s="13"/>
      <c r="I293" s="13"/>
      <c r="J293" s="13"/>
      <c r="K293" s="17">
        <f t="shared" si="43"/>
        <v>0</v>
      </c>
      <c r="L293" s="17">
        <f t="shared" si="43"/>
        <v>0</v>
      </c>
      <c r="M293" s="17"/>
    </row>
    <row r="294" spans="1:13" s="12" customFormat="1" x14ac:dyDescent="0.2">
      <c r="A294" s="89"/>
      <c r="B294" s="33" t="s">
        <v>64</v>
      </c>
      <c r="C294" s="42">
        <v>905</v>
      </c>
      <c r="D294" s="13" t="s">
        <v>7</v>
      </c>
      <c r="E294" s="13" t="s">
        <v>5</v>
      </c>
      <c r="F294" s="13" t="s">
        <v>141</v>
      </c>
      <c r="G294" s="25">
        <v>2</v>
      </c>
      <c r="H294" s="13"/>
      <c r="I294" s="13"/>
      <c r="J294" s="13"/>
      <c r="K294" s="17">
        <f t="shared" si="43"/>
        <v>0</v>
      </c>
      <c r="L294" s="17">
        <f t="shared" si="43"/>
        <v>0</v>
      </c>
      <c r="M294" s="17"/>
    </row>
    <row r="295" spans="1:13" s="12" customFormat="1" ht="31.5" x14ac:dyDescent="0.2">
      <c r="A295" s="89"/>
      <c r="B295" s="33" t="s">
        <v>83</v>
      </c>
      <c r="C295" s="42">
        <v>905</v>
      </c>
      <c r="D295" s="13" t="s">
        <v>7</v>
      </c>
      <c r="E295" s="13" t="s">
        <v>5</v>
      </c>
      <c r="F295" s="13" t="s">
        <v>141</v>
      </c>
      <c r="G295" s="25">
        <v>2</v>
      </c>
      <c r="H295" s="13" t="s">
        <v>102</v>
      </c>
      <c r="I295" s="13" t="s">
        <v>143</v>
      </c>
      <c r="J295" s="13"/>
      <c r="K295" s="17">
        <f t="shared" si="43"/>
        <v>0</v>
      </c>
      <c r="L295" s="17">
        <f t="shared" si="43"/>
        <v>0</v>
      </c>
      <c r="M295" s="17"/>
    </row>
    <row r="296" spans="1:13" s="12" customFormat="1" x14ac:dyDescent="0.2">
      <c r="A296" s="89"/>
      <c r="B296" s="33" t="s">
        <v>22</v>
      </c>
      <c r="C296" s="42">
        <v>905</v>
      </c>
      <c r="D296" s="13" t="s">
        <v>7</v>
      </c>
      <c r="E296" s="13" t="s">
        <v>5</v>
      </c>
      <c r="F296" s="13" t="s">
        <v>141</v>
      </c>
      <c r="G296" s="25">
        <v>2</v>
      </c>
      <c r="H296" s="13" t="s">
        <v>102</v>
      </c>
      <c r="I296" s="13" t="s">
        <v>143</v>
      </c>
      <c r="J296" s="13" t="s">
        <v>73</v>
      </c>
      <c r="K296" s="17">
        <v>0</v>
      </c>
      <c r="L296" s="17">
        <v>0</v>
      </c>
      <c r="M296" s="17"/>
    </row>
    <row r="297" spans="1:13" s="12" customFormat="1" x14ac:dyDescent="0.2">
      <c r="A297" s="89"/>
      <c r="B297" s="33" t="s">
        <v>18</v>
      </c>
      <c r="C297" s="42">
        <v>905</v>
      </c>
      <c r="D297" s="26" t="s">
        <v>8</v>
      </c>
      <c r="E297" s="26"/>
      <c r="F297" s="13"/>
      <c r="G297" s="13"/>
      <c r="H297" s="13"/>
      <c r="I297" s="13"/>
      <c r="J297" s="26"/>
      <c r="K297" s="17">
        <f t="shared" ref="K297:L301" si="44">K298</f>
        <v>114.3</v>
      </c>
      <c r="L297" s="17">
        <f t="shared" si="44"/>
        <v>38</v>
      </c>
      <c r="M297" s="17">
        <f t="shared" si="40"/>
        <v>33.245844269466318</v>
      </c>
    </row>
    <row r="298" spans="1:13" s="12" customFormat="1" ht="33.6" customHeight="1" x14ac:dyDescent="0.2">
      <c r="A298" s="89"/>
      <c r="B298" s="33" t="s">
        <v>457</v>
      </c>
      <c r="C298" s="42">
        <v>905</v>
      </c>
      <c r="D298" s="26" t="s">
        <v>8</v>
      </c>
      <c r="E298" s="26" t="s">
        <v>7</v>
      </c>
      <c r="F298" s="13"/>
      <c r="G298" s="13"/>
      <c r="H298" s="13"/>
      <c r="I298" s="13"/>
      <c r="J298" s="26"/>
      <c r="K298" s="17">
        <f t="shared" si="44"/>
        <v>114.3</v>
      </c>
      <c r="L298" s="17">
        <f t="shared" si="44"/>
        <v>38</v>
      </c>
      <c r="M298" s="17">
        <f t="shared" si="40"/>
        <v>33.245844269466318</v>
      </c>
    </row>
    <row r="299" spans="1:13" s="12" customFormat="1" ht="48" customHeight="1" x14ac:dyDescent="0.2">
      <c r="A299" s="89"/>
      <c r="B299" s="33" t="s">
        <v>253</v>
      </c>
      <c r="C299" s="42">
        <v>905</v>
      </c>
      <c r="D299" s="26" t="s">
        <v>8</v>
      </c>
      <c r="E299" s="26" t="s">
        <v>7</v>
      </c>
      <c r="F299" s="13" t="s">
        <v>8</v>
      </c>
      <c r="G299" s="13"/>
      <c r="H299" s="13"/>
      <c r="I299" s="13"/>
      <c r="J299" s="26"/>
      <c r="K299" s="17">
        <f t="shared" si="44"/>
        <v>114.3</v>
      </c>
      <c r="L299" s="17">
        <f t="shared" si="44"/>
        <v>38</v>
      </c>
      <c r="M299" s="17">
        <f t="shared" si="40"/>
        <v>33.245844269466318</v>
      </c>
    </row>
    <row r="300" spans="1:13" s="12" customFormat="1" ht="49.15" customHeight="1" x14ac:dyDescent="0.2">
      <c r="A300" s="89"/>
      <c r="B300" s="33" t="s">
        <v>254</v>
      </c>
      <c r="C300" s="42">
        <v>905</v>
      </c>
      <c r="D300" s="26" t="s">
        <v>8</v>
      </c>
      <c r="E300" s="26" t="s">
        <v>7</v>
      </c>
      <c r="F300" s="13" t="s">
        <v>8</v>
      </c>
      <c r="G300" s="13" t="s">
        <v>126</v>
      </c>
      <c r="H300" s="13"/>
      <c r="I300" s="13"/>
      <c r="J300" s="26"/>
      <c r="K300" s="17">
        <f t="shared" si="44"/>
        <v>114.3</v>
      </c>
      <c r="L300" s="17">
        <f t="shared" si="44"/>
        <v>38</v>
      </c>
      <c r="M300" s="17">
        <f t="shared" si="40"/>
        <v>33.245844269466318</v>
      </c>
    </row>
    <row r="301" spans="1:13" s="12" customFormat="1" ht="31.5" x14ac:dyDescent="0.2">
      <c r="A301" s="89"/>
      <c r="B301" s="33" t="s">
        <v>127</v>
      </c>
      <c r="C301" s="42">
        <v>905</v>
      </c>
      <c r="D301" s="26" t="s">
        <v>8</v>
      </c>
      <c r="E301" s="26" t="s">
        <v>7</v>
      </c>
      <c r="F301" s="13" t="s">
        <v>8</v>
      </c>
      <c r="G301" s="13" t="s">
        <v>126</v>
      </c>
      <c r="H301" s="13" t="s">
        <v>4</v>
      </c>
      <c r="I301" s="13"/>
      <c r="J301" s="26"/>
      <c r="K301" s="17">
        <f t="shared" si="44"/>
        <v>114.3</v>
      </c>
      <c r="L301" s="17">
        <f t="shared" si="44"/>
        <v>38</v>
      </c>
      <c r="M301" s="17">
        <f t="shared" si="40"/>
        <v>33.245844269466318</v>
      </c>
    </row>
    <row r="302" spans="1:13" s="12" customFormat="1" ht="33" customHeight="1" x14ac:dyDescent="0.2">
      <c r="A302" s="89"/>
      <c r="B302" s="33" t="s">
        <v>459</v>
      </c>
      <c r="C302" s="42">
        <v>905</v>
      </c>
      <c r="D302" s="26" t="s">
        <v>8</v>
      </c>
      <c r="E302" s="26" t="s">
        <v>7</v>
      </c>
      <c r="F302" s="13" t="s">
        <v>8</v>
      </c>
      <c r="G302" s="13" t="s">
        <v>126</v>
      </c>
      <c r="H302" s="13" t="s">
        <v>4</v>
      </c>
      <c r="I302" s="13" t="s">
        <v>458</v>
      </c>
      <c r="J302" s="26"/>
      <c r="K302" s="17">
        <f>SUM(K303:K304)</f>
        <v>114.3</v>
      </c>
      <c r="L302" s="17">
        <f>SUM(L303:L304)</f>
        <v>38</v>
      </c>
      <c r="M302" s="17">
        <f t="shared" si="40"/>
        <v>33.245844269466318</v>
      </c>
    </row>
    <row r="303" spans="1:13" s="12" customFormat="1" ht="47.25" x14ac:dyDescent="0.2">
      <c r="A303" s="89"/>
      <c r="B303" s="33" t="s">
        <v>55</v>
      </c>
      <c r="C303" s="42">
        <v>905</v>
      </c>
      <c r="D303" s="26" t="s">
        <v>8</v>
      </c>
      <c r="E303" s="26" t="s">
        <v>7</v>
      </c>
      <c r="F303" s="13" t="s">
        <v>8</v>
      </c>
      <c r="G303" s="13" t="s">
        <v>126</v>
      </c>
      <c r="H303" s="13" t="s">
        <v>4</v>
      </c>
      <c r="I303" s="13" t="s">
        <v>458</v>
      </c>
      <c r="J303" s="26" t="s">
        <v>56</v>
      </c>
      <c r="K303" s="17">
        <v>0</v>
      </c>
      <c r="L303" s="17">
        <v>0</v>
      </c>
      <c r="M303" s="17"/>
    </row>
    <row r="304" spans="1:13" s="12" customFormat="1" ht="31.5" x14ac:dyDescent="0.2">
      <c r="A304" s="89"/>
      <c r="B304" s="33" t="s">
        <v>175</v>
      </c>
      <c r="C304" s="42">
        <v>905</v>
      </c>
      <c r="D304" s="26" t="s">
        <v>8</v>
      </c>
      <c r="E304" s="26" t="s">
        <v>7</v>
      </c>
      <c r="F304" s="13" t="s">
        <v>8</v>
      </c>
      <c r="G304" s="13" t="s">
        <v>126</v>
      </c>
      <c r="H304" s="13" t="s">
        <v>4</v>
      </c>
      <c r="I304" s="13" t="s">
        <v>458</v>
      </c>
      <c r="J304" s="26" t="s">
        <v>58</v>
      </c>
      <c r="K304" s="17">
        <v>114.3</v>
      </c>
      <c r="L304" s="17">
        <v>38</v>
      </c>
      <c r="M304" s="17">
        <f t="shared" si="40"/>
        <v>33.245844269466318</v>
      </c>
    </row>
    <row r="305" spans="1:13" s="12" customFormat="1" x14ac:dyDescent="0.2">
      <c r="A305" s="89"/>
      <c r="B305" s="33" t="s">
        <v>85</v>
      </c>
      <c r="C305" s="42">
        <v>905</v>
      </c>
      <c r="D305" s="26" t="s">
        <v>17</v>
      </c>
      <c r="E305" s="26"/>
      <c r="F305" s="13"/>
      <c r="G305" s="13"/>
      <c r="H305" s="13"/>
      <c r="I305" s="13"/>
      <c r="J305" s="26"/>
      <c r="K305" s="17">
        <f t="shared" ref="K305:L309" si="45">K306</f>
        <v>661</v>
      </c>
      <c r="L305" s="17">
        <f t="shared" si="45"/>
        <v>661</v>
      </c>
      <c r="M305" s="17">
        <f t="shared" si="40"/>
        <v>100</v>
      </c>
    </row>
    <row r="306" spans="1:13" s="12" customFormat="1" x14ac:dyDescent="0.2">
      <c r="A306" s="89"/>
      <c r="B306" s="33" t="s">
        <v>330</v>
      </c>
      <c r="C306" s="42">
        <v>905</v>
      </c>
      <c r="D306" s="26" t="s">
        <v>17</v>
      </c>
      <c r="E306" s="26" t="s">
        <v>2</v>
      </c>
      <c r="F306" s="13"/>
      <c r="G306" s="13"/>
      <c r="H306" s="13"/>
      <c r="I306" s="13"/>
      <c r="J306" s="26"/>
      <c r="K306" s="17">
        <f t="shared" si="45"/>
        <v>661</v>
      </c>
      <c r="L306" s="17">
        <f t="shared" si="45"/>
        <v>661</v>
      </c>
      <c r="M306" s="17">
        <f t="shared" si="40"/>
        <v>100</v>
      </c>
    </row>
    <row r="307" spans="1:13" s="12" customFormat="1" ht="47.25" x14ac:dyDescent="0.2">
      <c r="A307" s="89"/>
      <c r="B307" s="33" t="s">
        <v>84</v>
      </c>
      <c r="C307" s="42">
        <v>905</v>
      </c>
      <c r="D307" s="26" t="s">
        <v>17</v>
      </c>
      <c r="E307" s="26" t="s">
        <v>2</v>
      </c>
      <c r="F307" s="13" t="s">
        <v>141</v>
      </c>
      <c r="G307" s="25"/>
      <c r="H307" s="13"/>
      <c r="I307" s="13"/>
      <c r="J307" s="13"/>
      <c r="K307" s="17">
        <f t="shared" si="45"/>
        <v>661</v>
      </c>
      <c r="L307" s="17">
        <f t="shared" si="45"/>
        <v>661</v>
      </c>
      <c r="M307" s="17">
        <f t="shared" si="40"/>
        <v>100</v>
      </c>
    </row>
    <row r="308" spans="1:13" s="12" customFormat="1" x14ac:dyDescent="0.2">
      <c r="A308" s="89"/>
      <c r="B308" s="33" t="s">
        <v>64</v>
      </c>
      <c r="C308" s="42">
        <v>905</v>
      </c>
      <c r="D308" s="26" t="s">
        <v>17</v>
      </c>
      <c r="E308" s="26" t="s">
        <v>2</v>
      </c>
      <c r="F308" s="13" t="s">
        <v>141</v>
      </c>
      <c r="G308" s="25">
        <v>2</v>
      </c>
      <c r="H308" s="13"/>
      <c r="I308" s="13"/>
      <c r="J308" s="13"/>
      <c r="K308" s="17">
        <f t="shared" si="45"/>
        <v>661</v>
      </c>
      <c r="L308" s="17">
        <f t="shared" si="45"/>
        <v>661</v>
      </c>
      <c r="M308" s="17">
        <f t="shared" si="40"/>
        <v>100</v>
      </c>
    </row>
    <row r="309" spans="1:13" s="12" customFormat="1" ht="31.5" x14ac:dyDescent="0.2">
      <c r="A309" s="89"/>
      <c r="B309" s="33" t="s">
        <v>83</v>
      </c>
      <c r="C309" s="42">
        <v>905</v>
      </c>
      <c r="D309" s="26" t="s">
        <v>17</v>
      </c>
      <c r="E309" s="26" t="s">
        <v>2</v>
      </c>
      <c r="F309" s="13" t="s">
        <v>141</v>
      </c>
      <c r="G309" s="25">
        <v>2</v>
      </c>
      <c r="H309" s="13" t="s">
        <v>102</v>
      </c>
      <c r="I309" s="13" t="s">
        <v>143</v>
      </c>
      <c r="J309" s="13"/>
      <c r="K309" s="17">
        <f t="shared" si="45"/>
        <v>661</v>
      </c>
      <c r="L309" s="17">
        <f t="shared" si="45"/>
        <v>661</v>
      </c>
      <c r="M309" s="17">
        <f t="shared" si="40"/>
        <v>100</v>
      </c>
    </row>
    <row r="310" spans="1:13" s="12" customFormat="1" x14ac:dyDescent="0.2">
      <c r="A310" s="89"/>
      <c r="B310" s="33" t="s">
        <v>22</v>
      </c>
      <c r="C310" s="42">
        <v>905</v>
      </c>
      <c r="D310" s="26" t="s">
        <v>17</v>
      </c>
      <c r="E310" s="26" t="s">
        <v>2</v>
      </c>
      <c r="F310" s="13" t="s">
        <v>141</v>
      </c>
      <c r="G310" s="25">
        <v>2</v>
      </c>
      <c r="H310" s="13" t="s">
        <v>102</v>
      </c>
      <c r="I310" s="13" t="s">
        <v>143</v>
      </c>
      <c r="J310" s="13" t="s">
        <v>73</v>
      </c>
      <c r="K310" s="17">
        <v>661</v>
      </c>
      <c r="L310" s="17">
        <v>661</v>
      </c>
      <c r="M310" s="17">
        <f t="shared" si="40"/>
        <v>100</v>
      </c>
    </row>
    <row r="311" spans="1:13" s="12" customFormat="1" ht="31.5" x14ac:dyDescent="0.2">
      <c r="A311" s="89"/>
      <c r="B311" s="33" t="s">
        <v>46</v>
      </c>
      <c r="C311" s="42">
        <v>905</v>
      </c>
      <c r="D311" s="13" t="s">
        <v>41</v>
      </c>
      <c r="E311" s="13"/>
      <c r="F311" s="13"/>
      <c r="G311" s="25"/>
      <c r="H311" s="13"/>
      <c r="I311" s="13"/>
      <c r="J311" s="13"/>
      <c r="K311" s="17">
        <f t="shared" ref="K311:L316" si="46">K312</f>
        <v>33.6</v>
      </c>
      <c r="L311" s="17">
        <f t="shared" si="46"/>
        <v>0</v>
      </c>
      <c r="M311" s="17">
        <f t="shared" si="40"/>
        <v>0</v>
      </c>
    </row>
    <row r="312" spans="1:13" s="12" customFormat="1" ht="31.15" customHeight="1" x14ac:dyDescent="0.2">
      <c r="A312" s="89"/>
      <c r="B312" s="33" t="s">
        <v>47</v>
      </c>
      <c r="C312" s="42">
        <v>905</v>
      </c>
      <c r="D312" s="13" t="s">
        <v>41</v>
      </c>
      <c r="E312" s="13" t="s">
        <v>2</v>
      </c>
      <c r="F312" s="13"/>
      <c r="G312" s="25"/>
      <c r="H312" s="13"/>
      <c r="I312" s="13"/>
      <c r="J312" s="13"/>
      <c r="K312" s="17">
        <f t="shared" si="46"/>
        <v>33.6</v>
      </c>
      <c r="L312" s="17">
        <f t="shared" si="46"/>
        <v>0</v>
      </c>
      <c r="M312" s="17">
        <f t="shared" si="40"/>
        <v>0</v>
      </c>
    </row>
    <row r="313" spans="1:13" s="12" customFormat="1" ht="30.6" customHeight="1" x14ac:dyDescent="0.2">
      <c r="A313" s="89"/>
      <c r="B313" s="50" t="s">
        <v>271</v>
      </c>
      <c r="C313" s="42">
        <v>905</v>
      </c>
      <c r="D313" s="13" t="s">
        <v>41</v>
      </c>
      <c r="E313" s="13" t="s">
        <v>2</v>
      </c>
      <c r="F313" s="13" t="s">
        <v>5</v>
      </c>
      <c r="G313" s="25"/>
      <c r="H313" s="13"/>
      <c r="I313" s="13"/>
      <c r="J313" s="13"/>
      <c r="K313" s="17">
        <f t="shared" si="46"/>
        <v>33.6</v>
      </c>
      <c r="L313" s="17">
        <f t="shared" si="46"/>
        <v>0</v>
      </c>
      <c r="M313" s="17">
        <f t="shared" si="40"/>
        <v>0</v>
      </c>
    </row>
    <row r="314" spans="1:13" s="12" customFormat="1" x14ac:dyDescent="0.2">
      <c r="A314" s="89"/>
      <c r="B314" s="50" t="s">
        <v>272</v>
      </c>
      <c r="C314" s="42">
        <v>905</v>
      </c>
      <c r="D314" s="13" t="s">
        <v>41</v>
      </c>
      <c r="E314" s="13" t="s">
        <v>2</v>
      </c>
      <c r="F314" s="13" t="s">
        <v>5</v>
      </c>
      <c r="G314" s="25">
        <v>2</v>
      </c>
      <c r="H314" s="13"/>
      <c r="I314" s="13"/>
      <c r="J314" s="13"/>
      <c r="K314" s="17">
        <f t="shared" si="46"/>
        <v>33.6</v>
      </c>
      <c r="L314" s="17">
        <f t="shared" si="46"/>
        <v>0</v>
      </c>
      <c r="M314" s="17">
        <f t="shared" si="40"/>
        <v>0</v>
      </c>
    </row>
    <row r="315" spans="1:13" s="12" customFormat="1" ht="48" customHeight="1" x14ac:dyDescent="0.2">
      <c r="A315" s="89"/>
      <c r="B315" s="50" t="s">
        <v>138</v>
      </c>
      <c r="C315" s="42">
        <v>905</v>
      </c>
      <c r="D315" s="13" t="s">
        <v>41</v>
      </c>
      <c r="E315" s="13" t="s">
        <v>2</v>
      </c>
      <c r="F315" s="13" t="s">
        <v>5</v>
      </c>
      <c r="G315" s="25">
        <v>2</v>
      </c>
      <c r="H315" s="13" t="s">
        <v>2</v>
      </c>
      <c r="I315" s="13"/>
      <c r="J315" s="13"/>
      <c r="K315" s="17">
        <f t="shared" si="46"/>
        <v>33.6</v>
      </c>
      <c r="L315" s="17">
        <f t="shared" si="46"/>
        <v>0</v>
      </c>
      <c r="M315" s="17">
        <f t="shared" si="40"/>
        <v>0</v>
      </c>
    </row>
    <row r="316" spans="1:13" s="12" customFormat="1" x14ac:dyDescent="0.2">
      <c r="A316" s="89"/>
      <c r="B316" s="50" t="s">
        <v>139</v>
      </c>
      <c r="C316" s="42">
        <v>905</v>
      </c>
      <c r="D316" s="13" t="s">
        <v>41</v>
      </c>
      <c r="E316" s="13" t="s">
        <v>2</v>
      </c>
      <c r="F316" s="13" t="s">
        <v>5</v>
      </c>
      <c r="G316" s="25">
        <v>2</v>
      </c>
      <c r="H316" s="13" t="s">
        <v>2</v>
      </c>
      <c r="I316" s="13" t="s">
        <v>140</v>
      </c>
      <c r="J316" s="13"/>
      <c r="K316" s="17">
        <f t="shared" si="46"/>
        <v>33.6</v>
      </c>
      <c r="L316" s="17">
        <f t="shared" si="46"/>
        <v>0</v>
      </c>
      <c r="M316" s="17">
        <f t="shared" si="40"/>
        <v>0</v>
      </c>
    </row>
    <row r="317" spans="1:13" s="12" customFormat="1" x14ac:dyDescent="0.2">
      <c r="A317" s="89"/>
      <c r="B317" s="33" t="s">
        <v>71</v>
      </c>
      <c r="C317" s="42">
        <v>905</v>
      </c>
      <c r="D317" s="13" t="s">
        <v>41</v>
      </c>
      <c r="E317" s="13" t="s">
        <v>2</v>
      </c>
      <c r="F317" s="13" t="s">
        <v>5</v>
      </c>
      <c r="G317" s="25">
        <v>2</v>
      </c>
      <c r="H317" s="13" t="s">
        <v>2</v>
      </c>
      <c r="I317" s="13" t="s">
        <v>140</v>
      </c>
      <c r="J317" s="13" t="s">
        <v>72</v>
      </c>
      <c r="K317" s="17">
        <v>33.6</v>
      </c>
      <c r="L317" s="17">
        <v>0</v>
      </c>
      <c r="M317" s="17">
        <f t="shared" si="40"/>
        <v>0</v>
      </c>
    </row>
    <row r="318" spans="1:13" s="12" customFormat="1" ht="31.5" x14ac:dyDescent="0.2">
      <c r="A318" s="89"/>
      <c r="B318" s="33" t="s">
        <v>182</v>
      </c>
      <c r="C318" s="25">
        <v>905</v>
      </c>
      <c r="D318" s="13" t="s">
        <v>10</v>
      </c>
      <c r="E318" s="13"/>
      <c r="F318" s="13"/>
      <c r="G318" s="25"/>
      <c r="H318" s="13"/>
      <c r="I318" s="13"/>
      <c r="J318" s="13"/>
      <c r="K318" s="17">
        <f>SUM(K319+K325)</f>
        <v>82754.799999999988</v>
      </c>
      <c r="L318" s="17">
        <f>SUM(L319+L325)</f>
        <v>73254.8</v>
      </c>
      <c r="M318" s="17">
        <f t="shared" si="40"/>
        <v>88.520303354004852</v>
      </c>
    </row>
    <row r="319" spans="1:13" ht="47.45" customHeight="1" x14ac:dyDescent="0.2">
      <c r="A319" s="89"/>
      <c r="B319" s="33" t="s">
        <v>183</v>
      </c>
      <c r="C319" s="25">
        <v>905</v>
      </c>
      <c r="D319" s="13" t="s">
        <v>10</v>
      </c>
      <c r="E319" s="13" t="s">
        <v>2</v>
      </c>
      <c r="F319" s="13"/>
      <c r="G319" s="25"/>
      <c r="H319" s="13"/>
      <c r="I319" s="13"/>
      <c r="J319" s="13"/>
      <c r="K319" s="17">
        <f>SUM(K320)</f>
        <v>38000</v>
      </c>
      <c r="L319" s="17">
        <f>SUM(L320)</f>
        <v>28500</v>
      </c>
      <c r="M319" s="17">
        <f t="shared" si="40"/>
        <v>75</v>
      </c>
    </row>
    <row r="320" spans="1:13" ht="31.9" customHeight="1" x14ac:dyDescent="0.2">
      <c r="A320" s="89"/>
      <c r="B320" s="33" t="s">
        <v>271</v>
      </c>
      <c r="C320" s="25">
        <v>905</v>
      </c>
      <c r="D320" s="13" t="s">
        <v>10</v>
      </c>
      <c r="E320" s="13" t="s">
        <v>2</v>
      </c>
      <c r="F320" s="13" t="s">
        <v>5</v>
      </c>
      <c r="G320" s="25"/>
      <c r="H320" s="13"/>
      <c r="I320" s="13"/>
      <c r="J320" s="13"/>
      <c r="K320" s="17">
        <f t="shared" ref="K320:L321" si="47">SUM(K321)</f>
        <v>38000</v>
      </c>
      <c r="L320" s="17">
        <f t="shared" si="47"/>
        <v>28500</v>
      </c>
      <c r="M320" s="17">
        <f t="shared" si="40"/>
        <v>75</v>
      </c>
    </row>
    <row r="321" spans="1:13" ht="33" customHeight="1" x14ac:dyDescent="0.2">
      <c r="A321" s="89"/>
      <c r="B321" s="33" t="s">
        <v>274</v>
      </c>
      <c r="C321" s="25">
        <v>905</v>
      </c>
      <c r="D321" s="13" t="s">
        <v>10</v>
      </c>
      <c r="E321" s="13" t="s">
        <v>2</v>
      </c>
      <c r="F321" s="13" t="s">
        <v>5</v>
      </c>
      <c r="G321" s="25">
        <v>1</v>
      </c>
      <c r="H321" s="13"/>
      <c r="I321" s="13"/>
      <c r="J321" s="13"/>
      <c r="K321" s="17">
        <f t="shared" si="47"/>
        <v>38000</v>
      </c>
      <c r="L321" s="17">
        <f t="shared" si="47"/>
        <v>28500</v>
      </c>
      <c r="M321" s="17">
        <f t="shared" si="40"/>
        <v>75</v>
      </c>
    </row>
    <row r="322" spans="1:13" ht="48.6" customHeight="1" x14ac:dyDescent="0.2">
      <c r="A322" s="89"/>
      <c r="B322" s="33" t="s">
        <v>144</v>
      </c>
      <c r="C322" s="25">
        <v>905</v>
      </c>
      <c r="D322" s="13" t="s">
        <v>10</v>
      </c>
      <c r="E322" s="13" t="s">
        <v>2</v>
      </c>
      <c r="F322" s="13" t="s">
        <v>5</v>
      </c>
      <c r="G322" s="25">
        <v>1</v>
      </c>
      <c r="H322" s="13" t="s">
        <v>2</v>
      </c>
      <c r="I322" s="13"/>
      <c r="J322" s="13"/>
      <c r="K322" s="17">
        <f>SUM(K323)</f>
        <v>38000</v>
      </c>
      <c r="L322" s="17">
        <f>SUM(L323)</f>
        <v>28500</v>
      </c>
      <c r="M322" s="17">
        <f t="shared" si="40"/>
        <v>75</v>
      </c>
    </row>
    <row r="323" spans="1:13" ht="51.6" customHeight="1" x14ac:dyDescent="0.2">
      <c r="A323" s="89"/>
      <c r="B323" s="33" t="s">
        <v>325</v>
      </c>
      <c r="C323" s="25">
        <v>905</v>
      </c>
      <c r="D323" s="13" t="s">
        <v>10</v>
      </c>
      <c r="E323" s="13" t="s">
        <v>2</v>
      </c>
      <c r="F323" s="13" t="s">
        <v>5</v>
      </c>
      <c r="G323" s="13" t="s">
        <v>126</v>
      </c>
      <c r="H323" s="13" t="s">
        <v>2</v>
      </c>
      <c r="I323" s="13" t="s">
        <v>326</v>
      </c>
      <c r="J323" s="26"/>
      <c r="K323" s="17">
        <f>SUM(K324)</f>
        <v>38000</v>
      </c>
      <c r="L323" s="17">
        <f>SUM(L324)</f>
        <v>28500</v>
      </c>
      <c r="M323" s="17">
        <f t="shared" si="40"/>
        <v>75</v>
      </c>
    </row>
    <row r="324" spans="1:13" ht="17.45" customHeight="1" x14ac:dyDescent="0.2">
      <c r="A324" s="89"/>
      <c r="B324" s="33" t="s">
        <v>22</v>
      </c>
      <c r="C324" s="25">
        <v>905</v>
      </c>
      <c r="D324" s="13" t="s">
        <v>10</v>
      </c>
      <c r="E324" s="13" t="s">
        <v>2</v>
      </c>
      <c r="F324" s="13" t="s">
        <v>5</v>
      </c>
      <c r="G324" s="13" t="s">
        <v>126</v>
      </c>
      <c r="H324" s="13" t="s">
        <v>2</v>
      </c>
      <c r="I324" s="13" t="s">
        <v>326</v>
      </c>
      <c r="J324" s="26" t="s">
        <v>73</v>
      </c>
      <c r="K324" s="17">
        <v>38000</v>
      </c>
      <c r="L324" s="17">
        <v>28500</v>
      </c>
      <c r="M324" s="17">
        <f t="shared" si="40"/>
        <v>75</v>
      </c>
    </row>
    <row r="325" spans="1:13" ht="18.600000000000001" customHeight="1" x14ac:dyDescent="0.2">
      <c r="A325" s="89"/>
      <c r="B325" s="33" t="s">
        <v>499</v>
      </c>
      <c r="C325" s="25">
        <v>905</v>
      </c>
      <c r="D325" s="13" t="s">
        <v>10</v>
      </c>
      <c r="E325" s="13" t="s">
        <v>5</v>
      </c>
      <c r="F325" s="13"/>
      <c r="G325" s="13"/>
      <c r="H325" s="13"/>
      <c r="I325" s="13"/>
      <c r="J325" s="26"/>
      <c r="K325" s="17">
        <f t="shared" ref="K325:L329" si="48">K326</f>
        <v>44754.799999999996</v>
      </c>
      <c r="L325" s="17">
        <f t="shared" si="48"/>
        <v>44754.8</v>
      </c>
      <c r="M325" s="17">
        <f t="shared" si="40"/>
        <v>100.00000000000003</v>
      </c>
    </row>
    <row r="326" spans="1:13" ht="33" customHeight="1" x14ac:dyDescent="0.2">
      <c r="A326" s="89"/>
      <c r="B326" s="50" t="s">
        <v>372</v>
      </c>
      <c r="C326" s="25">
        <v>905</v>
      </c>
      <c r="D326" s="13" t="s">
        <v>10</v>
      </c>
      <c r="E326" s="13" t="s">
        <v>5</v>
      </c>
      <c r="F326" s="13" t="s">
        <v>5</v>
      </c>
      <c r="G326" s="13"/>
      <c r="H326" s="13"/>
      <c r="I326" s="13"/>
      <c r="J326" s="26"/>
      <c r="K326" s="17">
        <f t="shared" si="48"/>
        <v>44754.799999999996</v>
      </c>
      <c r="L326" s="17">
        <f t="shared" si="48"/>
        <v>44754.8</v>
      </c>
      <c r="M326" s="17">
        <f t="shared" si="40"/>
        <v>100.00000000000003</v>
      </c>
    </row>
    <row r="327" spans="1:13" ht="31.5" x14ac:dyDescent="0.2">
      <c r="A327" s="89"/>
      <c r="B327" s="50" t="s">
        <v>274</v>
      </c>
      <c r="C327" s="25">
        <v>905</v>
      </c>
      <c r="D327" s="13" t="s">
        <v>10</v>
      </c>
      <c r="E327" s="13" t="s">
        <v>5</v>
      </c>
      <c r="F327" s="13" t="s">
        <v>5</v>
      </c>
      <c r="G327" s="13" t="s">
        <v>126</v>
      </c>
      <c r="H327" s="13"/>
      <c r="I327" s="13"/>
      <c r="J327" s="26"/>
      <c r="K327" s="17">
        <f t="shared" si="48"/>
        <v>44754.799999999996</v>
      </c>
      <c r="L327" s="17">
        <f t="shared" si="48"/>
        <v>44754.8</v>
      </c>
      <c r="M327" s="17">
        <f t="shared" si="40"/>
        <v>100.00000000000003</v>
      </c>
    </row>
    <row r="328" spans="1:13" ht="34.15" customHeight="1" x14ac:dyDescent="0.2">
      <c r="A328" s="89"/>
      <c r="B328" s="33" t="s">
        <v>369</v>
      </c>
      <c r="C328" s="25">
        <v>905</v>
      </c>
      <c r="D328" s="13" t="s">
        <v>10</v>
      </c>
      <c r="E328" s="13" t="s">
        <v>5</v>
      </c>
      <c r="F328" s="13" t="s">
        <v>5</v>
      </c>
      <c r="G328" s="13" t="s">
        <v>126</v>
      </c>
      <c r="H328" s="13" t="s">
        <v>4</v>
      </c>
      <c r="I328" s="13"/>
      <c r="J328" s="26"/>
      <c r="K328" s="17">
        <f t="shared" si="48"/>
        <v>44754.799999999996</v>
      </c>
      <c r="L328" s="17">
        <f t="shared" si="48"/>
        <v>44754.8</v>
      </c>
      <c r="M328" s="17">
        <f t="shared" si="40"/>
        <v>100.00000000000003</v>
      </c>
    </row>
    <row r="329" spans="1:13" ht="33.6" customHeight="1" x14ac:dyDescent="0.2">
      <c r="A329" s="89"/>
      <c r="B329" s="33" t="s">
        <v>370</v>
      </c>
      <c r="C329" s="25">
        <v>905</v>
      </c>
      <c r="D329" s="13" t="s">
        <v>10</v>
      </c>
      <c r="E329" s="13" t="s">
        <v>5</v>
      </c>
      <c r="F329" s="13" t="s">
        <v>5</v>
      </c>
      <c r="G329" s="13" t="s">
        <v>126</v>
      </c>
      <c r="H329" s="13" t="s">
        <v>4</v>
      </c>
      <c r="I329" s="13" t="s">
        <v>371</v>
      </c>
      <c r="J329" s="26"/>
      <c r="K329" s="17">
        <f t="shared" si="48"/>
        <v>44754.799999999996</v>
      </c>
      <c r="L329" s="17">
        <f t="shared" si="48"/>
        <v>44754.8</v>
      </c>
      <c r="M329" s="17">
        <f t="shared" si="40"/>
        <v>100.00000000000003</v>
      </c>
    </row>
    <row r="330" spans="1:13" ht="18.600000000000001" customHeight="1" x14ac:dyDescent="0.2">
      <c r="A330" s="90"/>
      <c r="B330" s="33" t="s">
        <v>22</v>
      </c>
      <c r="C330" s="25">
        <v>905</v>
      </c>
      <c r="D330" s="13" t="s">
        <v>10</v>
      </c>
      <c r="E330" s="13" t="s">
        <v>5</v>
      </c>
      <c r="F330" s="13" t="s">
        <v>5</v>
      </c>
      <c r="G330" s="13" t="s">
        <v>126</v>
      </c>
      <c r="H330" s="13" t="s">
        <v>4</v>
      </c>
      <c r="I330" s="13" t="s">
        <v>371</v>
      </c>
      <c r="J330" s="26" t="s">
        <v>73</v>
      </c>
      <c r="K330" s="17">
        <f>20000+24548.2+206.6</f>
        <v>44754.799999999996</v>
      </c>
      <c r="L330" s="17">
        <v>44754.8</v>
      </c>
      <c r="M330" s="17">
        <f t="shared" si="40"/>
        <v>100.00000000000003</v>
      </c>
    </row>
    <row r="331" spans="1:13" ht="33" customHeight="1" x14ac:dyDescent="0.2">
      <c r="A331" s="88">
        <v>4</v>
      </c>
      <c r="B331" s="33" t="s">
        <v>99</v>
      </c>
      <c r="C331" s="25">
        <v>910</v>
      </c>
      <c r="D331" s="13"/>
      <c r="E331" s="13"/>
      <c r="F331" s="13"/>
      <c r="G331" s="25"/>
      <c r="H331" s="13"/>
      <c r="I331" s="13"/>
      <c r="J331" s="13"/>
      <c r="K331" s="17">
        <f>SUM(K332+K354+K361)</f>
        <v>10886</v>
      </c>
      <c r="L331" s="17">
        <f>SUM(L332+L354+L361)</f>
        <v>7636.6</v>
      </c>
      <c r="M331" s="17">
        <f t="shared" si="40"/>
        <v>70.150652213852666</v>
      </c>
    </row>
    <row r="332" spans="1:13" ht="16.149999999999999" customHeight="1" x14ac:dyDescent="0.2">
      <c r="A332" s="89"/>
      <c r="B332" s="33" t="s">
        <v>1</v>
      </c>
      <c r="C332" s="25">
        <v>910</v>
      </c>
      <c r="D332" s="13" t="s">
        <v>2</v>
      </c>
      <c r="E332" s="13"/>
      <c r="F332" s="13"/>
      <c r="G332" s="25"/>
      <c r="H332" s="13"/>
      <c r="I332" s="13"/>
      <c r="J332" s="13"/>
      <c r="K332" s="17">
        <f>SUM(K333+K348)</f>
        <v>10480.700000000001</v>
      </c>
      <c r="L332" s="17">
        <f>SUM(L333+L348)</f>
        <v>7311.3</v>
      </c>
      <c r="M332" s="17">
        <f t="shared" si="40"/>
        <v>69.759653458261369</v>
      </c>
    </row>
    <row r="333" spans="1:13" ht="46.15" customHeight="1" x14ac:dyDescent="0.2">
      <c r="A333" s="89"/>
      <c r="B333" s="33" t="s">
        <v>45</v>
      </c>
      <c r="C333" s="25">
        <v>910</v>
      </c>
      <c r="D333" s="13" t="s">
        <v>2</v>
      </c>
      <c r="E333" s="13" t="s">
        <v>30</v>
      </c>
      <c r="F333" s="13"/>
      <c r="G333" s="25"/>
      <c r="H333" s="13"/>
      <c r="I333" s="13"/>
      <c r="J333" s="13"/>
      <c r="K333" s="17">
        <f>SUM(K334+K339)</f>
        <v>10452.6</v>
      </c>
      <c r="L333" s="17">
        <f>SUM(L334+L339)</f>
        <v>7284.6</v>
      </c>
      <c r="M333" s="17">
        <f t="shared" si="40"/>
        <v>69.691751334596177</v>
      </c>
    </row>
    <row r="334" spans="1:13" ht="31.5" x14ac:dyDescent="0.2">
      <c r="A334" s="89"/>
      <c r="B334" s="50" t="s">
        <v>279</v>
      </c>
      <c r="C334" s="25">
        <v>910</v>
      </c>
      <c r="D334" s="13" t="s">
        <v>2</v>
      </c>
      <c r="E334" s="13" t="s">
        <v>30</v>
      </c>
      <c r="F334" s="26" t="s">
        <v>128</v>
      </c>
      <c r="G334" s="42"/>
      <c r="H334" s="13"/>
      <c r="I334" s="13"/>
      <c r="J334" s="13"/>
      <c r="K334" s="17">
        <f t="shared" ref="K334:L337" si="49">K335</f>
        <v>660</v>
      </c>
      <c r="L334" s="17">
        <f t="shared" si="49"/>
        <v>495</v>
      </c>
      <c r="M334" s="17">
        <f t="shared" si="40"/>
        <v>75</v>
      </c>
    </row>
    <row r="335" spans="1:13" ht="63" x14ac:dyDescent="0.2">
      <c r="A335" s="89"/>
      <c r="B335" s="50" t="s">
        <v>129</v>
      </c>
      <c r="C335" s="25">
        <v>910</v>
      </c>
      <c r="D335" s="13" t="s">
        <v>2</v>
      </c>
      <c r="E335" s="13" t="s">
        <v>30</v>
      </c>
      <c r="F335" s="26" t="s">
        <v>128</v>
      </c>
      <c r="G335" s="42">
        <v>1</v>
      </c>
      <c r="H335" s="13"/>
      <c r="I335" s="13"/>
      <c r="J335" s="13"/>
      <c r="K335" s="17">
        <f t="shared" si="49"/>
        <v>660</v>
      </c>
      <c r="L335" s="17">
        <f t="shared" si="49"/>
        <v>495</v>
      </c>
      <c r="M335" s="17">
        <f t="shared" si="40"/>
        <v>75</v>
      </c>
    </row>
    <row r="336" spans="1:13" ht="31.5" x14ac:dyDescent="0.2">
      <c r="A336" s="89"/>
      <c r="B336" s="33" t="s">
        <v>223</v>
      </c>
      <c r="C336" s="25">
        <v>910</v>
      </c>
      <c r="D336" s="13" t="s">
        <v>2</v>
      </c>
      <c r="E336" s="13" t="s">
        <v>30</v>
      </c>
      <c r="F336" s="26" t="s">
        <v>128</v>
      </c>
      <c r="G336" s="42">
        <v>1</v>
      </c>
      <c r="H336" s="26" t="s">
        <v>5</v>
      </c>
      <c r="I336" s="26"/>
      <c r="J336" s="26"/>
      <c r="K336" s="17">
        <f t="shared" si="49"/>
        <v>660</v>
      </c>
      <c r="L336" s="17">
        <f t="shared" si="49"/>
        <v>495</v>
      </c>
      <c r="M336" s="17">
        <f t="shared" si="40"/>
        <v>75</v>
      </c>
    </row>
    <row r="337" spans="1:13" ht="31.5" x14ac:dyDescent="0.2">
      <c r="A337" s="89"/>
      <c r="B337" s="33" t="s">
        <v>281</v>
      </c>
      <c r="C337" s="25">
        <v>910</v>
      </c>
      <c r="D337" s="13" t="s">
        <v>2</v>
      </c>
      <c r="E337" s="13" t="s">
        <v>30</v>
      </c>
      <c r="F337" s="26" t="s">
        <v>128</v>
      </c>
      <c r="G337" s="42">
        <v>1</v>
      </c>
      <c r="H337" s="26" t="s">
        <v>5</v>
      </c>
      <c r="I337" s="26" t="s">
        <v>224</v>
      </c>
      <c r="J337" s="26"/>
      <c r="K337" s="17">
        <f t="shared" si="49"/>
        <v>660</v>
      </c>
      <c r="L337" s="17">
        <f t="shared" si="49"/>
        <v>495</v>
      </c>
      <c r="M337" s="17">
        <f t="shared" si="40"/>
        <v>75</v>
      </c>
    </row>
    <row r="338" spans="1:13" ht="31.5" x14ac:dyDescent="0.2">
      <c r="A338" s="89"/>
      <c r="B338" s="33" t="s">
        <v>175</v>
      </c>
      <c r="C338" s="25">
        <v>910</v>
      </c>
      <c r="D338" s="13" t="s">
        <v>2</v>
      </c>
      <c r="E338" s="13" t="s">
        <v>30</v>
      </c>
      <c r="F338" s="26" t="s">
        <v>128</v>
      </c>
      <c r="G338" s="42">
        <v>1</v>
      </c>
      <c r="H338" s="26" t="s">
        <v>5</v>
      </c>
      <c r="I338" s="26" t="s">
        <v>224</v>
      </c>
      <c r="J338" s="26" t="s">
        <v>58</v>
      </c>
      <c r="K338" s="17">
        <v>660</v>
      </c>
      <c r="L338" s="17">
        <v>495</v>
      </c>
      <c r="M338" s="17">
        <f t="shared" si="40"/>
        <v>75</v>
      </c>
    </row>
    <row r="339" spans="1:13" ht="31.5" x14ac:dyDescent="0.2">
      <c r="A339" s="89"/>
      <c r="B339" s="33" t="s">
        <v>74</v>
      </c>
      <c r="C339" s="25">
        <v>910</v>
      </c>
      <c r="D339" s="13" t="s">
        <v>2</v>
      </c>
      <c r="E339" s="13" t="s">
        <v>30</v>
      </c>
      <c r="F339" s="13" t="s">
        <v>145</v>
      </c>
      <c r="G339" s="25"/>
      <c r="H339" s="13"/>
      <c r="I339" s="13"/>
      <c r="J339" s="13"/>
      <c r="K339" s="17">
        <f>K340</f>
        <v>9792.6</v>
      </c>
      <c r="L339" s="17">
        <f>L340</f>
        <v>6789.6</v>
      </c>
      <c r="M339" s="17">
        <f t="shared" si="40"/>
        <v>69.333986888058334</v>
      </c>
    </row>
    <row r="340" spans="1:13" s="12" customFormat="1" ht="38.25" customHeight="1" x14ac:dyDescent="0.2">
      <c r="A340" s="89"/>
      <c r="B340" s="33" t="s">
        <v>74</v>
      </c>
      <c r="C340" s="25">
        <v>910</v>
      </c>
      <c r="D340" s="13" t="s">
        <v>2</v>
      </c>
      <c r="E340" s="13" t="s">
        <v>30</v>
      </c>
      <c r="F340" s="13" t="s">
        <v>145</v>
      </c>
      <c r="G340" s="25">
        <v>2</v>
      </c>
      <c r="H340" s="13"/>
      <c r="I340" s="13"/>
      <c r="J340" s="13"/>
      <c r="K340" s="17">
        <f>SUM(K341+K345)</f>
        <v>9792.6</v>
      </c>
      <c r="L340" s="17">
        <f>SUM(L341+L345)</f>
        <v>6789.6</v>
      </c>
      <c r="M340" s="17">
        <f t="shared" ref="M340:M403" si="50">L340/K340*100</f>
        <v>69.333986888058334</v>
      </c>
    </row>
    <row r="341" spans="1:13" s="12" customFormat="1" ht="17.45" customHeight="1" x14ac:dyDescent="0.2">
      <c r="A341" s="89"/>
      <c r="B341" s="33" t="s">
        <v>54</v>
      </c>
      <c r="C341" s="25">
        <v>910</v>
      </c>
      <c r="D341" s="13" t="s">
        <v>2</v>
      </c>
      <c r="E341" s="13" t="s">
        <v>30</v>
      </c>
      <c r="F341" s="13" t="s">
        <v>145</v>
      </c>
      <c r="G341" s="25">
        <v>2</v>
      </c>
      <c r="H341" s="13" t="s">
        <v>102</v>
      </c>
      <c r="I341" s="13" t="s">
        <v>104</v>
      </c>
      <c r="J341" s="13"/>
      <c r="K341" s="17">
        <f>SUM(K342:K344)</f>
        <v>6712</v>
      </c>
      <c r="L341" s="17">
        <f>SUM(L342:L344)</f>
        <v>4314.6000000000004</v>
      </c>
      <c r="M341" s="17">
        <f t="shared" si="50"/>
        <v>64.281883194278905</v>
      </c>
    </row>
    <row r="342" spans="1:13" s="12" customFormat="1" ht="47.45" customHeight="1" x14ac:dyDescent="0.2">
      <c r="A342" s="89"/>
      <c r="B342" s="33" t="s">
        <v>55</v>
      </c>
      <c r="C342" s="25">
        <v>910</v>
      </c>
      <c r="D342" s="13" t="s">
        <v>2</v>
      </c>
      <c r="E342" s="13" t="s">
        <v>30</v>
      </c>
      <c r="F342" s="13" t="s">
        <v>145</v>
      </c>
      <c r="G342" s="25">
        <v>2</v>
      </c>
      <c r="H342" s="13" t="s">
        <v>102</v>
      </c>
      <c r="I342" s="13" t="s">
        <v>104</v>
      </c>
      <c r="J342" s="13" t="s">
        <v>56</v>
      </c>
      <c r="K342" s="17">
        <f>6470+63.1-6</f>
        <v>6527.1</v>
      </c>
      <c r="L342" s="17">
        <v>4163.3</v>
      </c>
      <c r="M342" s="17">
        <f t="shared" si="50"/>
        <v>63.784835531859471</v>
      </c>
    </row>
    <row r="343" spans="1:13" s="12" customFormat="1" ht="36" customHeight="1" x14ac:dyDescent="0.2">
      <c r="A343" s="89"/>
      <c r="B343" s="33" t="s">
        <v>175</v>
      </c>
      <c r="C343" s="25">
        <v>910</v>
      </c>
      <c r="D343" s="13" t="s">
        <v>2</v>
      </c>
      <c r="E343" s="13" t="s">
        <v>30</v>
      </c>
      <c r="F343" s="13" t="s">
        <v>145</v>
      </c>
      <c r="G343" s="25">
        <v>2</v>
      </c>
      <c r="H343" s="13" t="s">
        <v>102</v>
      </c>
      <c r="I343" s="13" t="s">
        <v>104</v>
      </c>
      <c r="J343" s="13" t="s">
        <v>58</v>
      </c>
      <c r="K343" s="17">
        <f>6665.4-6491-16.5</f>
        <v>157.89999999999964</v>
      </c>
      <c r="L343" s="17">
        <v>126.3</v>
      </c>
      <c r="M343" s="17">
        <f t="shared" si="50"/>
        <v>79.98733375554167</v>
      </c>
    </row>
    <row r="344" spans="1:13" s="12" customFormat="1" ht="24" customHeight="1" x14ac:dyDescent="0.2">
      <c r="A344" s="89"/>
      <c r="B344" s="33" t="s">
        <v>60</v>
      </c>
      <c r="C344" s="25">
        <v>910</v>
      </c>
      <c r="D344" s="13" t="s">
        <v>2</v>
      </c>
      <c r="E344" s="13" t="s">
        <v>30</v>
      </c>
      <c r="F344" s="13" t="s">
        <v>145</v>
      </c>
      <c r="G344" s="25">
        <v>2</v>
      </c>
      <c r="H344" s="13" t="s">
        <v>102</v>
      </c>
      <c r="I344" s="13" t="s">
        <v>104</v>
      </c>
      <c r="J344" s="13" t="s">
        <v>61</v>
      </c>
      <c r="K344" s="17">
        <f>21+6</f>
        <v>27</v>
      </c>
      <c r="L344" s="17">
        <v>25</v>
      </c>
      <c r="M344" s="17">
        <f t="shared" si="50"/>
        <v>92.592592592592595</v>
      </c>
    </row>
    <row r="345" spans="1:13" s="12" customFormat="1" ht="64.900000000000006" customHeight="1" x14ac:dyDescent="0.2">
      <c r="A345" s="89"/>
      <c r="B345" s="33" t="s">
        <v>237</v>
      </c>
      <c r="C345" s="25">
        <v>910</v>
      </c>
      <c r="D345" s="13" t="s">
        <v>2</v>
      </c>
      <c r="E345" s="13" t="s">
        <v>30</v>
      </c>
      <c r="F345" s="13" t="s">
        <v>145</v>
      </c>
      <c r="G345" s="25">
        <v>2</v>
      </c>
      <c r="H345" s="13" t="s">
        <v>102</v>
      </c>
      <c r="I345" s="13" t="s">
        <v>238</v>
      </c>
      <c r="J345" s="13"/>
      <c r="K345" s="17">
        <f>SUM(K346:K347)</f>
        <v>3080.6</v>
      </c>
      <c r="L345" s="17">
        <f>SUM(L346:L347)</f>
        <v>2475</v>
      </c>
      <c r="M345" s="17">
        <f t="shared" si="50"/>
        <v>80.341491917159004</v>
      </c>
    </row>
    <row r="346" spans="1:13" s="12" customFormat="1" ht="79.900000000000006" customHeight="1" x14ac:dyDescent="0.2">
      <c r="A346" s="89"/>
      <c r="B346" s="33" t="s">
        <v>174</v>
      </c>
      <c r="C346" s="25">
        <v>910</v>
      </c>
      <c r="D346" s="13" t="s">
        <v>2</v>
      </c>
      <c r="E346" s="13" t="s">
        <v>30</v>
      </c>
      <c r="F346" s="13" t="s">
        <v>145</v>
      </c>
      <c r="G346" s="25">
        <v>2</v>
      </c>
      <c r="H346" s="13" t="s">
        <v>102</v>
      </c>
      <c r="I346" s="13" t="s">
        <v>238</v>
      </c>
      <c r="J346" s="13" t="s">
        <v>56</v>
      </c>
      <c r="K346" s="17">
        <f>2631.2+26.4</f>
        <v>2657.6</v>
      </c>
      <c r="L346" s="17">
        <v>2321.6999999999998</v>
      </c>
      <c r="M346" s="17">
        <f t="shared" si="50"/>
        <v>87.360776640577967</v>
      </c>
    </row>
    <row r="347" spans="1:13" s="12" customFormat="1" ht="31.5" x14ac:dyDescent="0.2">
      <c r="A347" s="89"/>
      <c r="B347" s="33" t="s">
        <v>175</v>
      </c>
      <c r="C347" s="25">
        <v>910</v>
      </c>
      <c r="D347" s="13" t="s">
        <v>2</v>
      </c>
      <c r="E347" s="13" t="s">
        <v>30</v>
      </c>
      <c r="F347" s="13" t="s">
        <v>145</v>
      </c>
      <c r="G347" s="25">
        <v>2</v>
      </c>
      <c r="H347" s="13" t="s">
        <v>102</v>
      </c>
      <c r="I347" s="13" t="s">
        <v>238</v>
      </c>
      <c r="J347" s="13" t="s">
        <v>58</v>
      </c>
      <c r="K347" s="17">
        <v>423</v>
      </c>
      <c r="L347" s="17">
        <v>153.30000000000001</v>
      </c>
      <c r="M347" s="17">
        <f t="shared" si="50"/>
        <v>36.241134751773053</v>
      </c>
    </row>
    <row r="348" spans="1:13" s="12" customFormat="1" x14ac:dyDescent="0.2">
      <c r="A348" s="89"/>
      <c r="B348" s="33" t="s">
        <v>9</v>
      </c>
      <c r="C348" s="42">
        <v>910</v>
      </c>
      <c r="D348" s="13" t="s">
        <v>2</v>
      </c>
      <c r="E348" s="13" t="s">
        <v>41</v>
      </c>
      <c r="F348" s="13"/>
      <c r="G348" s="25"/>
      <c r="H348" s="13"/>
      <c r="I348" s="13"/>
      <c r="J348" s="13"/>
      <c r="K348" s="17">
        <f t="shared" ref="K348:L352" si="51">SUM(K349)</f>
        <v>28.1</v>
      </c>
      <c r="L348" s="17">
        <f t="shared" si="51"/>
        <v>26.7</v>
      </c>
      <c r="M348" s="17">
        <f t="shared" si="50"/>
        <v>95.017793594306042</v>
      </c>
    </row>
    <row r="349" spans="1:13" s="12" customFormat="1" ht="47.45" customHeight="1" x14ac:dyDescent="0.2">
      <c r="A349" s="89"/>
      <c r="B349" s="33" t="s">
        <v>253</v>
      </c>
      <c r="C349" s="42">
        <v>910</v>
      </c>
      <c r="D349" s="13" t="s">
        <v>2</v>
      </c>
      <c r="E349" s="13" t="s">
        <v>41</v>
      </c>
      <c r="F349" s="13" t="s">
        <v>8</v>
      </c>
      <c r="G349" s="25"/>
      <c r="H349" s="13"/>
      <c r="I349" s="13"/>
      <c r="J349" s="13"/>
      <c r="K349" s="17">
        <f t="shared" si="51"/>
        <v>28.1</v>
      </c>
      <c r="L349" s="17">
        <f t="shared" si="51"/>
        <v>26.7</v>
      </c>
      <c r="M349" s="17">
        <f t="shared" si="50"/>
        <v>95.017793594306042</v>
      </c>
    </row>
    <row r="350" spans="1:13" s="12" customFormat="1" ht="47.45" customHeight="1" x14ac:dyDescent="0.2">
      <c r="A350" s="89"/>
      <c r="B350" s="33" t="s">
        <v>254</v>
      </c>
      <c r="C350" s="42">
        <v>910</v>
      </c>
      <c r="D350" s="13" t="s">
        <v>2</v>
      </c>
      <c r="E350" s="13" t="s">
        <v>41</v>
      </c>
      <c r="F350" s="13" t="s">
        <v>8</v>
      </c>
      <c r="G350" s="25">
        <v>1</v>
      </c>
      <c r="H350" s="13"/>
      <c r="I350" s="13"/>
      <c r="J350" s="13"/>
      <c r="K350" s="17">
        <f t="shared" si="51"/>
        <v>28.1</v>
      </c>
      <c r="L350" s="17">
        <f t="shared" si="51"/>
        <v>26.7</v>
      </c>
      <c r="M350" s="17">
        <f t="shared" si="50"/>
        <v>95.017793594306042</v>
      </c>
    </row>
    <row r="351" spans="1:13" s="12" customFormat="1" ht="31.5" x14ac:dyDescent="0.2">
      <c r="A351" s="89"/>
      <c r="B351" s="33" t="s">
        <v>127</v>
      </c>
      <c r="C351" s="42">
        <v>910</v>
      </c>
      <c r="D351" s="13" t="s">
        <v>2</v>
      </c>
      <c r="E351" s="13" t="s">
        <v>41</v>
      </c>
      <c r="F351" s="13" t="s">
        <v>8</v>
      </c>
      <c r="G351" s="25">
        <v>1</v>
      </c>
      <c r="H351" s="13" t="s">
        <v>4</v>
      </c>
      <c r="I351" s="13"/>
      <c r="J351" s="13"/>
      <c r="K351" s="17">
        <f t="shared" si="51"/>
        <v>28.1</v>
      </c>
      <c r="L351" s="17">
        <f t="shared" si="51"/>
        <v>26.7</v>
      </c>
      <c r="M351" s="17">
        <f t="shared" si="50"/>
        <v>95.017793594306042</v>
      </c>
    </row>
    <row r="352" spans="1:13" s="12" customFormat="1" ht="34.15" customHeight="1" x14ac:dyDescent="0.2">
      <c r="A352" s="89"/>
      <c r="B352" s="33" t="s">
        <v>456</v>
      </c>
      <c r="C352" s="42">
        <v>910</v>
      </c>
      <c r="D352" s="13" t="s">
        <v>2</v>
      </c>
      <c r="E352" s="13" t="s">
        <v>41</v>
      </c>
      <c r="F352" s="13" t="s">
        <v>8</v>
      </c>
      <c r="G352" s="25">
        <v>1</v>
      </c>
      <c r="H352" s="13" t="s">
        <v>4</v>
      </c>
      <c r="I352" s="13" t="s">
        <v>455</v>
      </c>
      <c r="J352" s="13"/>
      <c r="K352" s="17">
        <f t="shared" si="51"/>
        <v>28.1</v>
      </c>
      <c r="L352" s="17">
        <f t="shared" si="51"/>
        <v>26.7</v>
      </c>
      <c r="M352" s="17">
        <f t="shared" si="50"/>
        <v>95.017793594306042</v>
      </c>
    </row>
    <row r="353" spans="1:13" s="12" customFormat="1" ht="31.5" x14ac:dyDescent="0.2">
      <c r="A353" s="89"/>
      <c r="B353" s="33" t="s">
        <v>175</v>
      </c>
      <c r="C353" s="42">
        <v>910</v>
      </c>
      <c r="D353" s="13" t="s">
        <v>2</v>
      </c>
      <c r="E353" s="13" t="s">
        <v>41</v>
      </c>
      <c r="F353" s="13" t="s">
        <v>8</v>
      </c>
      <c r="G353" s="25">
        <v>1</v>
      </c>
      <c r="H353" s="13" t="s">
        <v>4</v>
      </c>
      <c r="I353" s="13" t="s">
        <v>455</v>
      </c>
      <c r="J353" s="13" t="s">
        <v>58</v>
      </c>
      <c r="K353" s="17">
        <v>28.1</v>
      </c>
      <c r="L353" s="17">
        <v>26.7</v>
      </c>
      <c r="M353" s="17">
        <f t="shared" si="50"/>
        <v>95.017793594306042</v>
      </c>
    </row>
    <row r="354" spans="1:13" s="12" customFormat="1" x14ac:dyDescent="0.2">
      <c r="A354" s="89"/>
      <c r="B354" s="33" t="s">
        <v>15</v>
      </c>
      <c r="C354" s="42">
        <v>910</v>
      </c>
      <c r="D354" s="13" t="s">
        <v>6</v>
      </c>
      <c r="E354" s="13"/>
      <c r="F354" s="13"/>
      <c r="G354" s="25"/>
      <c r="H354" s="13"/>
      <c r="I354" s="13"/>
      <c r="J354" s="13"/>
      <c r="K354" s="17">
        <f>SUM(K355)</f>
        <v>343.8</v>
      </c>
      <c r="L354" s="17">
        <f>SUM(L355)</f>
        <v>264.60000000000002</v>
      </c>
      <c r="M354" s="17">
        <f t="shared" si="50"/>
        <v>76.963350785340324</v>
      </c>
    </row>
    <row r="355" spans="1:13" s="12" customFormat="1" x14ac:dyDescent="0.2">
      <c r="A355" s="89"/>
      <c r="B355" s="33" t="s">
        <v>92</v>
      </c>
      <c r="C355" s="42">
        <v>910</v>
      </c>
      <c r="D355" s="13" t="s">
        <v>6</v>
      </c>
      <c r="E355" s="13" t="s">
        <v>93</v>
      </c>
      <c r="F355" s="13"/>
      <c r="G355" s="13"/>
      <c r="H355" s="13"/>
      <c r="I355" s="13"/>
      <c r="J355" s="13"/>
      <c r="K355" s="17">
        <f t="shared" ref="K355:L359" si="52">SUM(K356)</f>
        <v>343.8</v>
      </c>
      <c r="L355" s="17">
        <f t="shared" si="52"/>
        <v>264.60000000000002</v>
      </c>
      <c r="M355" s="17">
        <f t="shared" si="50"/>
        <v>76.963350785340324</v>
      </c>
    </row>
    <row r="356" spans="1:13" s="12" customFormat="1" ht="48" customHeight="1" x14ac:dyDescent="0.2">
      <c r="A356" s="89"/>
      <c r="B356" s="50" t="s">
        <v>273</v>
      </c>
      <c r="C356" s="42">
        <v>910</v>
      </c>
      <c r="D356" s="13" t="s">
        <v>6</v>
      </c>
      <c r="E356" s="13" t="s">
        <v>93</v>
      </c>
      <c r="F356" s="13" t="s">
        <v>8</v>
      </c>
      <c r="G356" s="13"/>
      <c r="H356" s="13"/>
      <c r="I356" s="13"/>
      <c r="J356" s="13"/>
      <c r="K356" s="17">
        <f t="shared" si="52"/>
        <v>343.8</v>
      </c>
      <c r="L356" s="17">
        <f t="shared" si="52"/>
        <v>264.60000000000002</v>
      </c>
      <c r="M356" s="17">
        <f t="shared" si="50"/>
        <v>76.963350785340324</v>
      </c>
    </row>
    <row r="357" spans="1:13" s="12" customFormat="1" ht="49.15" customHeight="1" x14ac:dyDescent="0.2">
      <c r="A357" s="89"/>
      <c r="B357" s="50" t="s">
        <v>254</v>
      </c>
      <c r="C357" s="42">
        <v>910</v>
      </c>
      <c r="D357" s="13" t="s">
        <v>6</v>
      </c>
      <c r="E357" s="13" t="s">
        <v>93</v>
      </c>
      <c r="F357" s="13" t="s">
        <v>8</v>
      </c>
      <c r="G357" s="13" t="s">
        <v>126</v>
      </c>
      <c r="H357" s="13"/>
      <c r="I357" s="13"/>
      <c r="J357" s="13"/>
      <c r="K357" s="17">
        <f t="shared" si="52"/>
        <v>343.8</v>
      </c>
      <c r="L357" s="17">
        <f t="shared" si="52"/>
        <v>264.60000000000002</v>
      </c>
      <c r="M357" s="17">
        <f t="shared" si="50"/>
        <v>76.963350785340324</v>
      </c>
    </row>
    <row r="358" spans="1:13" s="12" customFormat="1" ht="33" customHeight="1" x14ac:dyDescent="0.2">
      <c r="A358" s="89"/>
      <c r="B358" s="50" t="s">
        <v>127</v>
      </c>
      <c r="C358" s="42">
        <v>910</v>
      </c>
      <c r="D358" s="13" t="s">
        <v>6</v>
      </c>
      <c r="E358" s="13" t="s">
        <v>93</v>
      </c>
      <c r="F358" s="13" t="s">
        <v>8</v>
      </c>
      <c r="G358" s="13" t="s">
        <v>126</v>
      </c>
      <c r="H358" s="13" t="s">
        <v>4</v>
      </c>
      <c r="I358" s="13"/>
      <c r="J358" s="13"/>
      <c r="K358" s="17">
        <f t="shared" si="52"/>
        <v>343.8</v>
      </c>
      <c r="L358" s="17">
        <f t="shared" si="52"/>
        <v>264.60000000000002</v>
      </c>
      <c r="M358" s="17">
        <f t="shared" si="50"/>
        <v>76.963350785340324</v>
      </c>
    </row>
    <row r="359" spans="1:13" s="12" customFormat="1" ht="31.5" x14ac:dyDescent="0.2">
      <c r="A359" s="89"/>
      <c r="B359" s="55" t="s">
        <v>463</v>
      </c>
      <c r="C359" s="42">
        <v>910</v>
      </c>
      <c r="D359" s="13" t="s">
        <v>6</v>
      </c>
      <c r="E359" s="13" t="s">
        <v>93</v>
      </c>
      <c r="F359" s="13" t="s">
        <v>8</v>
      </c>
      <c r="G359" s="13" t="s">
        <v>126</v>
      </c>
      <c r="H359" s="13" t="s">
        <v>4</v>
      </c>
      <c r="I359" s="13" t="s">
        <v>462</v>
      </c>
      <c r="J359" s="13"/>
      <c r="K359" s="17">
        <f t="shared" si="52"/>
        <v>343.8</v>
      </c>
      <c r="L359" s="17">
        <f t="shared" si="52"/>
        <v>264.60000000000002</v>
      </c>
      <c r="M359" s="17">
        <f t="shared" si="50"/>
        <v>76.963350785340324</v>
      </c>
    </row>
    <row r="360" spans="1:13" s="12" customFormat="1" ht="31.5" x14ac:dyDescent="0.2">
      <c r="A360" s="89"/>
      <c r="B360" s="33" t="s">
        <v>175</v>
      </c>
      <c r="C360" s="42">
        <v>910</v>
      </c>
      <c r="D360" s="13" t="s">
        <v>6</v>
      </c>
      <c r="E360" s="13" t="s">
        <v>93</v>
      </c>
      <c r="F360" s="13" t="s">
        <v>8</v>
      </c>
      <c r="G360" s="13" t="s">
        <v>126</v>
      </c>
      <c r="H360" s="13" t="s">
        <v>4</v>
      </c>
      <c r="I360" s="13" t="s">
        <v>462</v>
      </c>
      <c r="J360" s="13" t="s">
        <v>58</v>
      </c>
      <c r="K360" s="17">
        <v>343.8</v>
      </c>
      <c r="L360" s="17">
        <v>264.60000000000002</v>
      </c>
      <c r="M360" s="17">
        <f t="shared" si="50"/>
        <v>76.963350785340324</v>
      </c>
    </row>
    <row r="361" spans="1:13" s="12" customFormat="1" x14ac:dyDescent="0.2">
      <c r="A361" s="89"/>
      <c r="B361" s="33" t="s">
        <v>18</v>
      </c>
      <c r="C361" s="42">
        <v>910</v>
      </c>
      <c r="D361" s="26" t="s">
        <v>8</v>
      </c>
      <c r="E361" s="26"/>
      <c r="F361" s="13"/>
      <c r="G361" s="13"/>
      <c r="H361" s="13"/>
      <c r="I361" s="13"/>
      <c r="J361" s="26"/>
      <c r="K361" s="17">
        <f t="shared" ref="K361:L366" si="53">SUM(K362)</f>
        <v>61.5</v>
      </c>
      <c r="L361" s="17">
        <f t="shared" si="53"/>
        <v>60.7</v>
      </c>
      <c r="M361" s="17">
        <f t="shared" si="50"/>
        <v>98.699186991869922</v>
      </c>
    </row>
    <row r="362" spans="1:13" s="12" customFormat="1" ht="33" customHeight="1" x14ac:dyDescent="0.2">
      <c r="A362" s="89"/>
      <c r="B362" s="33" t="s">
        <v>457</v>
      </c>
      <c r="C362" s="42">
        <v>910</v>
      </c>
      <c r="D362" s="26" t="s">
        <v>8</v>
      </c>
      <c r="E362" s="26" t="s">
        <v>7</v>
      </c>
      <c r="F362" s="13"/>
      <c r="G362" s="13"/>
      <c r="H362" s="13"/>
      <c r="I362" s="13"/>
      <c r="J362" s="26"/>
      <c r="K362" s="17">
        <f t="shared" si="53"/>
        <v>61.5</v>
      </c>
      <c r="L362" s="17">
        <f t="shared" si="53"/>
        <v>60.7</v>
      </c>
      <c r="M362" s="17">
        <f t="shared" si="50"/>
        <v>98.699186991869922</v>
      </c>
    </row>
    <row r="363" spans="1:13" s="12" customFormat="1" ht="46.9" customHeight="1" x14ac:dyDescent="0.2">
      <c r="A363" s="89"/>
      <c r="B363" s="33" t="s">
        <v>253</v>
      </c>
      <c r="C363" s="42">
        <v>910</v>
      </c>
      <c r="D363" s="26" t="s">
        <v>8</v>
      </c>
      <c r="E363" s="26" t="s">
        <v>7</v>
      </c>
      <c r="F363" s="13" t="s">
        <v>8</v>
      </c>
      <c r="G363" s="13"/>
      <c r="H363" s="13"/>
      <c r="I363" s="13"/>
      <c r="J363" s="26"/>
      <c r="K363" s="17">
        <f t="shared" si="53"/>
        <v>61.5</v>
      </c>
      <c r="L363" s="17">
        <f t="shared" si="53"/>
        <v>60.7</v>
      </c>
      <c r="M363" s="17">
        <f t="shared" si="50"/>
        <v>98.699186991869922</v>
      </c>
    </row>
    <row r="364" spans="1:13" s="12" customFormat="1" ht="51.6" customHeight="1" x14ac:dyDescent="0.2">
      <c r="A364" s="89"/>
      <c r="B364" s="33" t="s">
        <v>254</v>
      </c>
      <c r="C364" s="42">
        <v>910</v>
      </c>
      <c r="D364" s="26" t="s">
        <v>8</v>
      </c>
      <c r="E364" s="26" t="s">
        <v>7</v>
      </c>
      <c r="F364" s="13" t="s">
        <v>8</v>
      </c>
      <c r="G364" s="13" t="s">
        <v>126</v>
      </c>
      <c r="H364" s="13"/>
      <c r="I364" s="13"/>
      <c r="J364" s="26"/>
      <c r="K364" s="17">
        <f t="shared" si="53"/>
        <v>61.5</v>
      </c>
      <c r="L364" s="17">
        <f t="shared" si="53"/>
        <v>60.7</v>
      </c>
      <c r="M364" s="17">
        <f t="shared" si="50"/>
        <v>98.699186991869922</v>
      </c>
    </row>
    <row r="365" spans="1:13" s="12" customFormat="1" ht="34.15" customHeight="1" x14ac:dyDescent="0.2">
      <c r="A365" s="89"/>
      <c r="B365" s="33" t="s">
        <v>127</v>
      </c>
      <c r="C365" s="42">
        <v>910</v>
      </c>
      <c r="D365" s="26" t="s">
        <v>8</v>
      </c>
      <c r="E365" s="26" t="s">
        <v>7</v>
      </c>
      <c r="F365" s="13" t="s">
        <v>8</v>
      </c>
      <c r="G365" s="13" t="s">
        <v>126</v>
      </c>
      <c r="H365" s="13" t="s">
        <v>4</v>
      </c>
      <c r="I365" s="13"/>
      <c r="J365" s="26"/>
      <c r="K365" s="17">
        <f t="shared" si="53"/>
        <v>61.5</v>
      </c>
      <c r="L365" s="17">
        <f t="shared" si="53"/>
        <v>60.7</v>
      </c>
      <c r="M365" s="17">
        <f t="shared" si="50"/>
        <v>98.699186991869922</v>
      </c>
    </row>
    <row r="366" spans="1:13" s="12" customFormat="1" ht="31.5" x14ac:dyDescent="0.2">
      <c r="A366" s="89"/>
      <c r="B366" s="33" t="s">
        <v>459</v>
      </c>
      <c r="C366" s="42">
        <v>910</v>
      </c>
      <c r="D366" s="26" t="s">
        <v>8</v>
      </c>
      <c r="E366" s="26" t="s">
        <v>7</v>
      </c>
      <c r="F366" s="13" t="s">
        <v>8</v>
      </c>
      <c r="G366" s="13" t="s">
        <v>126</v>
      </c>
      <c r="H366" s="13" t="s">
        <v>4</v>
      </c>
      <c r="I366" s="13" t="s">
        <v>458</v>
      </c>
      <c r="J366" s="26"/>
      <c r="K366" s="17">
        <f t="shared" si="53"/>
        <v>61.5</v>
      </c>
      <c r="L366" s="17">
        <f t="shared" si="53"/>
        <v>60.7</v>
      </c>
      <c r="M366" s="17">
        <f t="shared" si="50"/>
        <v>98.699186991869922</v>
      </c>
    </row>
    <row r="367" spans="1:13" s="12" customFormat="1" ht="31.5" x14ac:dyDescent="0.2">
      <c r="A367" s="90"/>
      <c r="B367" s="33" t="s">
        <v>175</v>
      </c>
      <c r="C367" s="42">
        <v>910</v>
      </c>
      <c r="D367" s="26" t="s">
        <v>8</v>
      </c>
      <c r="E367" s="26" t="s">
        <v>7</v>
      </c>
      <c r="F367" s="13" t="s">
        <v>8</v>
      </c>
      <c r="G367" s="13" t="s">
        <v>126</v>
      </c>
      <c r="H367" s="13" t="s">
        <v>4</v>
      </c>
      <c r="I367" s="13" t="s">
        <v>458</v>
      </c>
      <c r="J367" s="26" t="s">
        <v>58</v>
      </c>
      <c r="K367" s="17">
        <f>45+16.5</f>
        <v>61.5</v>
      </c>
      <c r="L367" s="17">
        <v>60.7</v>
      </c>
      <c r="M367" s="17">
        <f t="shared" si="50"/>
        <v>98.699186991869922</v>
      </c>
    </row>
    <row r="368" spans="1:13" s="12" customFormat="1" ht="31.5" x14ac:dyDescent="0.2">
      <c r="A368" s="88">
        <v>5</v>
      </c>
      <c r="B368" s="33" t="s">
        <v>96</v>
      </c>
      <c r="C368" s="25">
        <v>918</v>
      </c>
      <c r="D368" s="13"/>
      <c r="E368" s="13"/>
      <c r="F368" s="13"/>
      <c r="G368" s="25"/>
      <c r="H368" s="13"/>
      <c r="I368" s="13"/>
      <c r="J368" s="13"/>
      <c r="K368" s="17">
        <f>K369+K376+K394+K426</f>
        <v>292817.23004000005</v>
      </c>
      <c r="L368" s="17">
        <f>L369+L376+L394+L426</f>
        <v>79302.5</v>
      </c>
      <c r="M368" s="17">
        <f t="shared" si="50"/>
        <v>27.082593462538711</v>
      </c>
    </row>
    <row r="369" spans="1:13" s="12" customFormat="1" ht="33.6" customHeight="1" x14ac:dyDescent="0.2">
      <c r="A369" s="89"/>
      <c r="B369" s="33" t="s">
        <v>14</v>
      </c>
      <c r="C369" s="25">
        <v>918</v>
      </c>
      <c r="D369" s="26" t="s">
        <v>5</v>
      </c>
      <c r="E369" s="26"/>
      <c r="F369" s="26"/>
      <c r="G369" s="42"/>
      <c r="H369" s="26"/>
      <c r="I369" s="26"/>
      <c r="J369" s="26"/>
      <c r="K369" s="17">
        <f t="shared" ref="K369:L374" si="54">K370</f>
        <v>215</v>
      </c>
      <c r="L369" s="17">
        <f t="shared" si="54"/>
        <v>215</v>
      </c>
      <c r="M369" s="17">
        <f t="shared" si="50"/>
        <v>100</v>
      </c>
    </row>
    <row r="370" spans="1:13" s="12" customFormat="1" ht="48" customHeight="1" x14ac:dyDescent="0.2">
      <c r="A370" s="89"/>
      <c r="B370" s="33" t="s">
        <v>412</v>
      </c>
      <c r="C370" s="25">
        <v>918</v>
      </c>
      <c r="D370" s="26" t="s">
        <v>5</v>
      </c>
      <c r="E370" s="13" t="s">
        <v>21</v>
      </c>
      <c r="F370" s="26"/>
      <c r="G370" s="42"/>
      <c r="H370" s="26"/>
      <c r="I370" s="26"/>
      <c r="J370" s="26"/>
      <c r="K370" s="17">
        <f t="shared" si="54"/>
        <v>215</v>
      </c>
      <c r="L370" s="17">
        <f t="shared" si="54"/>
        <v>215</v>
      </c>
      <c r="M370" s="17">
        <f t="shared" si="50"/>
        <v>100</v>
      </c>
    </row>
    <row r="371" spans="1:13" s="12" customFormat="1" ht="31.5" x14ac:dyDescent="0.2">
      <c r="A371" s="89"/>
      <c r="B371" s="50" t="s">
        <v>352</v>
      </c>
      <c r="C371" s="25">
        <v>918</v>
      </c>
      <c r="D371" s="26" t="s">
        <v>5</v>
      </c>
      <c r="E371" s="13" t="s">
        <v>21</v>
      </c>
      <c r="F371" s="13" t="s">
        <v>4</v>
      </c>
      <c r="G371" s="13"/>
      <c r="H371" s="13"/>
      <c r="I371" s="13"/>
      <c r="J371" s="13"/>
      <c r="K371" s="17">
        <f t="shared" si="54"/>
        <v>215</v>
      </c>
      <c r="L371" s="17">
        <f t="shared" si="54"/>
        <v>215</v>
      </c>
      <c r="M371" s="17">
        <f t="shared" si="50"/>
        <v>100</v>
      </c>
    </row>
    <row r="372" spans="1:13" s="12" customFormat="1" ht="31.5" x14ac:dyDescent="0.2">
      <c r="A372" s="89"/>
      <c r="B372" s="50" t="s">
        <v>146</v>
      </c>
      <c r="C372" s="25">
        <v>918</v>
      </c>
      <c r="D372" s="26" t="s">
        <v>5</v>
      </c>
      <c r="E372" s="13" t="s">
        <v>21</v>
      </c>
      <c r="F372" s="13" t="s">
        <v>4</v>
      </c>
      <c r="G372" s="13" t="s">
        <v>126</v>
      </c>
      <c r="H372" s="13"/>
      <c r="I372" s="13"/>
      <c r="J372" s="13"/>
      <c r="K372" s="17">
        <f t="shared" si="54"/>
        <v>215</v>
      </c>
      <c r="L372" s="17">
        <f t="shared" si="54"/>
        <v>215</v>
      </c>
      <c r="M372" s="17">
        <f t="shared" si="50"/>
        <v>100</v>
      </c>
    </row>
    <row r="373" spans="1:13" s="12" customFormat="1" ht="66" customHeight="1" x14ac:dyDescent="0.2">
      <c r="A373" s="89"/>
      <c r="B373" s="50" t="s">
        <v>147</v>
      </c>
      <c r="C373" s="25">
        <v>918</v>
      </c>
      <c r="D373" s="26" t="s">
        <v>5</v>
      </c>
      <c r="E373" s="13" t="s">
        <v>21</v>
      </c>
      <c r="F373" s="13" t="s">
        <v>4</v>
      </c>
      <c r="G373" s="13" t="s">
        <v>126</v>
      </c>
      <c r="H373" s="13" t="s">
        <v>2</v>
      </c>
      <c r="I373" s="13"/>
      <c r="J373" s="13"/>
      <c r="K373" s="17">
        <f t="shared" si="54"/>
        <v>215</v>
      </c>
      <c r="L373" s="17">
        <f t="shared" si="54"/>
        <v>215</v>
      </c>
      <c r="M373" s="17">
        <f t="shared" si="50"/>
        <v>100</v>
      </c>
    </row>
    <row r="374" spans="1:13" s="12" customFormat="1" ht="48" customHeight="1" x14ac:dyDescent="0.2">
      <c r="A374" s="89"/>
      <c r="B374" s="50" t="s">
        <v>400</v>
      </c>
      <c r="C374" s="25">
        <v>918</v>
      </c>
      <c r="D374" s="26" t="s">
        <v>5</v>
      </c>
      <c r="E374" s="13" t="s">
        <v>21</v>
      </c>
      <c r="F374" s="13" t="s">
        <v>4</v>
      </c>
      <c r="G374" s="13" t="s">
        <v>126</v>
      </c>
      <c r="H374" s="13" t="s">
        <v>2</v>
      </c>
      <c r="I374" s="13" t="s">
        <v>351</v>
      </c>
      <c r="J374" s="13"/>
      <c r="K374" s="17">
        <f t="shared" si="54"/>
        <v>215</v>
      </c>
      <c r="L374" s="17">
        <f t="shared" si="54"/>
        <v>215</v>
      </c>
      <c r="M374" s="17">
        <f t="shared" si="50"/>
        <v>100</v>
      </c>
    </row>
    <row r="375" spans="1:13" s="12" customFormat="1" ht="31.5" x14ac:dyDescent="0.2">
      <c r="A375" s="89"/>
      <c r="B375" s="33" t="s">
        <v>100</v>
      </c>
      <c r="C375" s="25">
        <v>918</v>
      </c>
      <c r="D375" s="26" t="s">
        <v>5</v>
      </c>
      <c r="E375" s="13" t="s">
        <v>21</v>
      </c>
      <c r="F375" s="13" t="s">
        <v>4</v>
      </c>
      <c r="G375" s="13" t="s">
        <v>126</v>
      </c>
      <c r="H375" s="13" t="s">
        <v>2</v>
      </c>
      <c r="I375" s="13" t="s">
        <v>351</v>
      </c>
      <c r="J375" s="13" t="s">
        <v>67</v>
      </c>
      <c r="K375" s="17">
        <v>215</v>
      </c>
      <c r="L375" s="17">
        <v>215</v>
      </c>
      <c r="M375" s="17">
        <f t="shared" si="50"/>
        <v>100</v>
      </c>
    </row>
    <row r="376" spans="1:13" s="12" customFormat="1" x14ac:dyDescent="0.2">
      <c r="A376" s="89"/>
      <c r="B376" s="33" t="s">
        <v>15</v>
      </c>
      <c r="C376" s="25">
        <v>918</v>
      </c>
      <c r="D376" s="13" t="s">
        <v>6</v>
      </c>
      <c r="E376" s="13"/>
      <c r="F376" s="13"/>
      <c r="G376" s="25"/>
      <c r="H376" s="13"/>
      <c r="I376" s="13"/>
      <c r="J376" s="13"/>
      <c r="K376" s="17">
        <f t="shared" ref="K376:L376" si="55">SUM(K377)</f>
        <v>15087.530040000001</v>
      </c>
      <c r="L376" s="17">
        <f t="shared" si="55"/>
        <v>7499.2</v>
      </c>
      <c r="M376" s="17">
        <f t="shared" si="50"/>
        <v>49.704623487861497</v>
      </c>
    </row>
    <row r="377" spans="1:13" s="12" customFormat="1" x14ac:dyDescent="0.2">
      <c r="A377" s="89"/>
      <c r="B377" s="33" t="s">
        <v>92</v>
      </c>
      <c r="C377" s="25">
        <v>918</v>
      </c>
      <c r="D377" s="13" t="s">
        <v>6</v>
      </c>
      <c r="E377" s="13" t="s">
        <v>93</v>
      </c>
      <c r="F377" s="13"/>
      <c r="G377" s="25"/>
      <c r="H377" s="13"/>
      <c r="I377" s="13"/>
      <c r="J377" s="13"/>
      <c r="K377" s="17">
        <f>SUM(K378)</f>
        <v>15087.530040000001</v>
      </c>
      <c r="L377" s="17">
        <f>SUM(L378)</f>
        <v>7499.2</v>
      </c>
      <c r="M377" s="17">
        <f t="shared" si="50"/>
        <v>49.704623487861497</v>
      </c>
    </row>
    <row r="378" spans="1:13" s="12" customFormat="1" ht="31.5" x14ac:dyDescent="0.2">
      <c r="A378" s="89"/>
      <c r="B378" s="33" t="s">
        <v>275</v>
      </c>
      <c r="C378" s="25">
        <v>918</v>
      </c>
      <c r="D378" s="13" t="s">
        <v>6</v>
      </c>
      <c r="E378" s="13" t="s">
        <v>93</v>
      </c>
      <c r="F378" s="13" t="s">
        <v>4</v>
      </c>
      <c r="G378" s="25"/>
      <c r="H378" s="13"/>
      <c r="I378" s="13"/>
      <c r="J378" s="13"/>
      <c r="K378" s="17">
        <f>SUM(K379)</f>
        <v>15087.530040000001</v>
      </c>
      <c r="L378" s="17">
        <f>SUM(L379)</f>
        <v>7499.2</v>
      </c>
      <c r="M378" s="17">
        <f t="shared" si="50"/>
        <v>49.704623487861497</v>
      </c>
    </row>
    <row r="379" spans="1:13" s="12" customFormat="1" ht="31.5" x14ac:dyDescent="0.2">
      <c r="A379" s="89"/>
      <c r="B379" s="33" t="s">
        <v>146</v>
      </c>
      <c r="C379" s="25">
        <v>918</v>
      </c>
      <c r="D379" s="13" t="s">
        <v>6</v>
      </c>
      <c r="E379" s="13" t="s">
        <v>93</v>
      </c>
      <c r="F379" s="13" t="s">
        <v>4</v>
      </c>
      <c r="G379" s="25">
        <v>1</v>
      </c>
      <c r="H379" s="13"/>
      <c r="I379" s="13"/>
      <c r="J379" s="13"/>
      <c r="K379" s="17">
        <f>SUM(K380+K387)</f>
        <v>15087.530040000001</v>
      </c>
      <c r="L379" s="17">
        <f>SUM(L380+L387)</f>
        <v>7499.2</v>
      </c>
      <c r="M379" s="17">
        <f t="shared" si="50"/>
        <v>49.704623487861497</v>
      </c>
    </row>
    <row r="380" spans="1:13" s="12" customFormat="1" ht="63.6" customHeight="1" x14ac:dyDescent="0.2">
      <c r="A380" s="89"/>
      <c r="B380" s="50" t="s">
        <v>147</v>
      </c>
      <c r="C380" s="25">
        <v>918</v>
      </c>
      <c r="D380" s="13" t="s">
        <v>6</v>
      </c>
      <c r="E380" s="13" t="s">
        <v>93</v>
      </c>
      <c r="F380" s="13" t="s">
        <v>4</v>
      </c>
      <c r="G380" s="25">
        <v>1</v>
      </c>
      <c r="H380" s="13" t="s">
        <v>2</v>
      </c>
      <c r="I380" s="13"/>
      <c r="J380" s="13"/>
      <c r="K380" s="17">
        <f>SUM(K381+K385)</f>
        <v>10080.430040000001</v>
      </c>
      <c r="L380" s="17">
        <f>SUM(L381+L385)</f>
        <v>4371.5</v>
      </c>
      <c r="M380" s="17">
        <f t="shared" si="50"/>
        <v>43.366205436211722</v>
      </c>
    </row>
    <row r="381" spans="1:13" s="12" customFormat="1" ht="64.900000000000006" customHeight="1" x14ac:dyDescent="0.2">
      <c r="A381" s="89"/>
      <c r="B381" s="33" t="s">
        <v>88</v>
      </c>
      <c r="C381" s="25">
        <v>918</v>
      </c>
      <c r="D381" s="13" t="s">
        <v>6</v>
      </c>
      <c r="E381" s="13" t="s">
        <v>93</v>
      </c>
      <c r="F381" s="13" t="s">
        <v>4</v>
      </c>
      <c r="G381" s="25">
        <v>1</v>
      </c>
      <c r="H381" s="13" t="s">
        <v>2</v>
      </c>
      <c r="I381" s="13" t="s">
        <v>116</v>
      </c>
      <c r="J381" s="13"/>
      <c r="K381" s="17">
        <f>SUM(K382:K384)</f>
        <v>3974.0300400000001</v>
      </c>
      <c r="L381" s="17">
        <f>SUM(L382:L384)</f>
        <v>1953.3999999999999</v>
      </c>
      <c r="M381" s="17">
        <f t="shared" si="50"/>
        <v>49.15413271511153</v>
      </c>
    </row>
    <row r="382" spans="1:13" s="12" customFormat="1" ht="47.45" customHeight="1" x14ac:dyDescent="0.2">
      <c r="A382" s="89"/>
      <c r="B382" s="33" t="s">
        <v>55</v>
      </c>
      <c r="C382" s="25">
        <v>918</v>
      </c>
      <c r="D382" s="13" t="s">
        <v>6</v>
      </c>
      <c r="E382" s="13" t="s">
        <v>93</v>
      </c>
      <c r="F382" s="13" t="s">
        <v>4</v>
      </c>
      <c r="G382" s="25">
        <v>1</v>
      </c>
      <c r="H382" s="13" t="s">
        <v>2</v>
      </c>
      <c r="I382" s="13" t="s">
        <v>116</v>
      </c>
      <c r="J382" s="13" t="s">
        <v>56</v>
      </c>
      <c r="K382" s="17">
        <f>3039.8+30.3+446.7+38.8</f>
        <v>3555.6000000000004</v>
      </c>
      <c r="L382" s="17">
        <v>1844.5</v>
      </c>
      <c r="M382" s="17">
        <f t="shared" si="50"/>
        <v>51.875914051074353</v>
      </c>
    </row>
    <row r="383" spans="1:13" s="12" customFormat="1" ht="31.5" x14ac:dyDescent="0.2">
      <c r="A383" s="89"/>
      <c r="B383" s="33" t="s">
        <v>175</v>
      </c>
      <c r="C383" s="25">
        <v>918</v>
      </c>
      <c r="D383" s="13" t="s">
        <v>6</v>
      </c>
      <c r="E383" s="13" t="s">
        <v>93</v>
      </c>
      <c r="F383" s="13" t="s">
        <v>4</v>
      </c>
      <c r="G383" s="25">
        <v>1</v>
      </c>
      <c r="H383" s="13" t="s">
        <v>2</v>
      </c>
      <c r="I383" s="13" t="s">
        <v>116</v>
      </c>
      <c r="J383" s="13" t="s">
        <v>58</v>
      </c>
      <c r="K383" s="17">
        <f>3456.2-3221.8+0.03004+2</f>
        <v>236.43003999999965</v>
      </c>
      <c r="L383" s="17">
        <v>58.6</v>
      </c>
      <c r="M383" s="17">
        <f t="shared" si="50"/>
        <v>24.785344535745157</v>
      </c>
    </row>
    <row r="384" spans="1:13" s="12" customFormat="1" ht="19.149999999999999" customHeight="1" x14ac:dyDescent="0.2">
      <c r="A384" s="89"/>
      <c r="B384" s="33" t="s">
        <v>60</v>
      </c>
      <c r="C384" s="25">
        <v>918</v>
      </c>
      <c r="D384" s="13" t="s">
        <v>6</v>
      </c>
      <c r="E384" s="13" t="s">
        <v>93</v>
      </c>
      <c r="F384" s="13" t="s">
        <v>4</v>
      </c>
      <c r="G384" s="25">
        <v>1</v>
      </c>
      <c r="H384" s="13" t="s">
        <v>2</v>
      </c>
      <c r="I384" s="13" t="s">
        <v>116</v>
      </c>
      <c r="J384" s="13" t="s">
        <v>61</v>
      </c>
      <c r="K384" s="17">
        <v>182</v>
      </c>
      <c r="L384" s="17">
        <v>50.3</v>
      </c>
      <c r="M384" s="17">
        <f t="shared" si="50"/>
        <v>27.637362637362635</v>
      </c>
    </row>
    <row r="385" spans="1:13" s="12" customFormat="1" ht="48.6" customHeight="1" x14ac:dyDescent="0.2">
      <c r="A385" s="89"/>
      <c r="B385" s="50" t="s">
        <v>400</v>
      </c>
      <c r="C385" s="25">
        <v>918</v>
      </c>
      <c r="D385" s="13" t="s">
        <v>6</v>
      </c>
      <c r="E385" s="13" t="s">
        <v>93</v>
      </c>
      <c r="F385" s="13" t="s">
        <v>4</v>
      </c>
      <c r="G385" s="13" t="s">
        <v>126</v>
      </c>
      <c r="H385" s="13" t="s">
        <v>2</v>
      </c>
      <c r="I385" s="13" t="s">
        <v>351</v>
      </c>
      <c r="J385" s="26"/>
      <c r="K385" s="17">
        <f>K386</f>
        <v>6106.4000000000005</v>
      </c>
      <c r="L385" s="17">
        <f>L386</f>
        <v>2418.1</v>
      </c>
      <c r="M385" s="17">
        <f t="shared" si="50"/>
        <v>39.599436656622558</v>
      </c>
    </row>
    <row r="386" spans="1:13" s="12" customFormat="1" ht="37.5" customHeight="1" x14ac:dyDescent="0.2">
      <c r="A386" s="89"/>
      <c r="B386" s="50" t="s">
        <v>175</v>
      </c>
      <c r="C386" s="25">
        <v>918</v>
      </c>
      <c r="D386" s="13" t="s">
        <v>6</v>
      </c>
      <c r="E386" s="13" t="s">
        <v>93</v>
      </c>
      <c r="F386" s="13" t="s">
        <v>4</v>
      </c>
      <c r="G386" s="13" t="s">
        <v>126</v>
      </c>
      <c r="H386" s="13" t="s">
        <v>2</v>
      </c>
      <c r="I386" s="13" t="s">
        <v>351</v>
      </c>
      <c r="J386" s="26" t="s">
        <v>58</v>
      </c>
      <c r="K386" s="17">
        <f>5000-24.2+113.6+463.7+1190.7-463.7-89.9-83.8</f>
        <v>6106.4000000000005</v>
      </c>
      <c r="L386" s="17">
        <v>2418.1</v>
      </c>
      <c r="M386" s="17">
        <f t="shared" si="50"/>
        <v>39.599436656622558</v>
      </c>
    </row>
    <row r="387" spans="1:13" s="12" customFormat="1" ht="49.15" customHeight="1" x14ac:dyDescent="0.2">
      <c r="A387" s="89"/>
      <c r="B387" s="33" t="s">
        <v>312</v>
      </c>
      <c r="C387" s="25">
        <v>918</v>
      </c>
      <c r="D387" s="13" t="s">
        <v>6</v>
      </c>
      <c r="E387" s="13" t="s">
        <v>93</v>
      </c>
      <c r="F387" s="13" t="s">
        <v>4</v>
      </c>
      <c r="G387" s="25">
        <v>1</v>
      </c>
      <c r="H387" s="13" t="s">
        <v>4</v>
      </c>
      <c r="I387" s="13"/>
      <c r="J387" s="13"/>
      <c r="K387" s="17">
        <f>SUM(K388+K392)</f>
        <v>5007.0999999999995</v>
      </c>
      <c r="L387" s="17">
        <f>SUM(L388+L392)</f>
        <v>3127.7</v>
      </c>
      <c r="M387" s="17">
        <f t="shared" si="50"/>
        <v>62.465299275029466</v>
      </c>
    </row>
    <row r="388" spans="1:13" s="12" customFormat="1" ht="31.5" x14ac:dyDescent="0.2">
      <c r="A388" s="89"/>
      <c r="B388" s="33" t="s">
        <v>54</v>
      </c>
      <c r="C388" s="25">
        <v>918</v>
      </c>
      <c r="D388" s="13" t="s">
        <v>6</v>
      </c>
      <c r="E388" s="13" t="s">
        <v>93</v>
      </c>
      <c r="F388" s="13" t="s">
        <v>4</v>
      </c>
      <c r="G388" s="25">
        <v>1</v>
      </c>
      <c r="H388" s="13" t="s">
        <v>4</v>
      </c>
      <c r="I388" s="13" t="s">
        <v>104</v>
      </c>
      <c r="J388" s="13"/>
      <c r="K388" s="17">
        <f>SUM(K389:K391)</f>
        <v>4984.2999999999993</v>
      </c>
      <c r="L388" s="17">
        <f>SUM(L389:L391)</f>
        <v>3127.7</v>
      </c>
      <c r="M388" s="17">
        <f t="shared" si="50"/>
        <v>62.751038260136838</v>
      </c>
    </row>
    <row r="389" spans="1:13" s="12" customFormat="1" ht="49.9" customHeight="1" x14ac:dyDescent="0.2">
      <c r="A389" s="89"/>
      <c r="B389" s="33" t="s">
        <v>55</v>
      </c>
      <c r="C389" s="25">
        <v>918</v>
      </c>
      <c r="D389" s="13" t="s">
        <v>6</v>
      </c>
      <c r="E389" s="13" t="s">
        <v>93</v>
      </c>
      <c r="F389" s="13" t="s">
        <v>4</v>
      </c>
      <c r="G389" s="25">
        <v>1</v>
      </c>
      <c r="H389" s="13" t="s">
        <v>4</v>
      </c>
      <c r="I389" s="13" t="s">
        <v>104</v>
      </c>
      <c r="J389" s="13" t="s">
        <v>56</v>
      </c>
      <c r="K389" s="17">
        <f>4838.7+48.4</f>
        <v>4887.0999999999995</v>
      </c>
      <c r="L389" s="17">
        <v>3078.1</v>
      </c>
      <c r="M389" s="17">
        <f t="shared" si="50"/>
        <v>62.984182848724203</v>
      </c>
    </row>
    <row r="390" spans="1:13" s="12" customFormat="1" ht="34.15" customHeight="1" x14ac:dyDescent="0.2">
      <c r="A390" s="89"/>
      <c r="B390" s="33" t="s">
        <v>175</v>
      </c>
      <c r="C390" s="25">
        <v>918</v>
      </c>
      <c r="D390" s="13" t="s">
        <v>6</v>
      </c>
      <c r="E390" s="13" t="s">
        <v>93</v>
      </c>
      <c r="F390" s="13" t="s">
        <v>4</v>
      </c>
      <c r="G390" s="25">
        <v>1</v>
      </c>
      <c r="H390" s="13" t="s">
        <v>4</v>
      </c>
      <c r="I390" s="13" t="s">
        <v>104</v>
      </c>
      <c r="J390" s="13" t="s">
        <v>58</v>
      </c>
      <c r="K390" s="17">
        <f>4903.4-4840.7+32.4</f>
        <v>95.099999999999824</v>
      </c>
      <c r="L390" s="17">
        <v>49.6</v>
      </c>
      <c r="M390" s="17">
        <f t="shared" si="50"/>
        <v>52.155625657203039</v>
      </c>
    </row>
    <row r="391" spans="1:13" s="12" customFormat="1" x14ac:dyDescent="0.2">
      <c r="A391" s="89"/>
      <c r="B391" s="33" t="s">
        <v>60</v>
      </c>
      <c r="C391" s="25">
        <v>918</v>
      </c>
      <c r="D391" s="13" t="s">
        <v>6</v>
      </c>
      <c r="E391" s="13" t="s">
        <v>93</v>
      </c>
      <c r="F391" s="13" t="s">
        <v>4</v>
      </c>
      <c r="G391" s="25">
        <v>1</v>
      </c>
      <c r="H391" s="13" t="s">
        <v>4</v>
      </c>
      <c r="I391" s="13" t="s">
        <v>104</v>
      </c>
      <c r="J391" s="13" t="s">
        <v>61</v>
      </c>
      <c r="K391" s="17">
        <v>2.1</v>
      </c>
      <c r="L391" s="17">
        <v>0</v>
      </c>
      <c r="M391" s="17">
        <f t="shared" si="50"/>
        <v>0</v>
      </c>
    </row>
    <row r="392" spans="1:13" s="12" customFormat="1" ht="31.5" x14ac:dyDescent="0.2">
      <c r="A392" s="89"/>
      <c r="B392" s="33" t="s">
        <v>456</v>
      </c>
      <c r="C392" s="42">
        <v>918</v>
      </c>
      <c r="D392" s="13" t="s">
        <v>6</v>
      </c>
      <c r="E392" s="13" t="s">
        <v>93</v>
      </c>
      <c r="F392" s="13" t="s">
        <v>4</v>
      </c>
      <c r="G392" s="25">
        <v>1</v>
      </c>
      <c r="H392" s="13" t="s">
        <v>4</v>
      </c>
      <c r="I392" s="13" t="s">
        <v>455</v>
      </c>
      <c r="J392" s="13"/>
      <c r="K392" s="17">
        <f>SUM(K393)</f>
        <v>22.8</v>
      </c>
      <c r="L392" s="17">
        <f>SUM(L393)</f>
        <v>0</v>
      </c>
      <c r="M392" s="17">
        <f t="shared" si="50"/>
        <v>0</v>
      </c>
    </row>
    <row r="393" spans="1:13" s="12" customFormat="1" ht="31.5" x14ac:dyDescent="0.2">
      <c r="A393" s="89"/>
      <c r="B393" s="33" t="s">
        <v>175</v>
      </c>
      <c r="C393" s="42">
        <v>918</v>
      </c>
      <c r="D393" s="13" t="s">
        <v>6</v>
      </c>
      <c r="E393" s="13" t="s">
        <v>93</v>
      </c>
      <c r="F393" s="13" t="s">
        <v>4</v>
      </c>
      <c r="G393" s="25">
        <v>1</v>
      </c>
      <c r="H393" s="13" t="s">
        <v>4</v>
      </c>
      <c r="I393" s="13" t="s">
        <v>455</v>
      </c>
      <c r="J393" s="13" t="s">
        <v>58</v>
      </c>
      <c r="K393" s="17">
        <v>22.8</v>
      </c>
      <c r="L393" s="17">
        <v>0</v>
      </c>
      <c r="M393" s="17">
        <f t="shared" si="50"/>
        <v>0</v>
      </c>
    </row>
    <row r="394" spans="1:13" s="12" customFormat="1" x14ac:dyDescent="0.2">
      <c r="A394" s="89"/>
      <c r="B394" s="33" t="s">
        <v>18</v>
      </c>
      <c r="C394" s="25">
        <v>918</v>
      </c>
      <c r="D394" s="26" t="s">
        <v>8</v>
      </c>
      <c r="E394" s="13"/>
      <c r="F394" s="13"/>
      <c r="G394" s="25"/>
      <c r="H394" s="13"/>
      <c r="I394" s="13"/>
      <c r="J394" s="13"/>
      <c r="K394" s="17">
        <f>K395+K405+K420</f>
        <v>190948.10000000003</v>
      </c>
      <c r="L394" s="17">
        <f>L395+L405+L420</f>
        <v>71254</v>
      </c>
      <c r="M394" s="17">
        <f t="shared" si="50"/>
        <v>37.315898927509615</v>
      </c>
    </row>
    <row r="395" spans="1:13" s="12" customFormat="1" x14ac:dyDescent="0.2">
      <c r="A395" s="89"/>
      <c r="B395" s="33" t="s">
        <v>25</v>
      </c>
      <c r="C395" s="25">
        <v>918</v>
      </c>
      <c r="D395" s="26" t="s">
        <v>8</v>
      </c>
      <c r="E395" s="13" t="s">
        <v>2</v>
      </c>
      <c r="F395" s="13"/>
      <c r="G395" s="25"/>
      <c r="H395" s="13"/>
      <c r="I395" s="13"/>
      <c r="J395" s="13"/>
      <c r="K395" s="17">
        <f t="shared" ref="K395:L397" si="56">K396</f>
        <v>28971.800000000003</v>
      </c>
      <c r="L395" s="17">
        <f t="shared" si="56"/>
        <v>17283.900000000001</v>
      </c>
      <c r="M395" s="17">
        <f t="shared" si="50"/>
        <v>59.657667110776678</v>
      </c>
    </row>
    <row r="396" spans="1:13" s="12" customFormat="1" ht="31.5" x14ac:dyDescent="0.2">
      <c r="A396" s="89"/>
      <c r="B396" s="50" t="s">
        <v>352</v>
      </c>
      <c r="C396" s="25">
        <v>918</v>
      </c>
      <c r="D396" s="26" t="s">
        <v>8</v>
      </c>
      <c r="E396" s="13" t="s">
        <v>2</v>
      </c>
      <c r="F396" s="13" t="s">
        <v>4</v>
      </c>
      <c r="G396" s="13"/>
      <c r="H396" s="13"/>
      <c r="I396" s="13"/>
      <c r="J396" s="26"/>
      <c r="K396" s="17">
        <f t="shared" si="56"/>
        <v>28971.800000000003</v>
      </c>
      <c r="L396" s="17">
        <f t="shared" si="56"/>
        <v>17283.900000000001</v>
      </c>
      <c r="M396" s="17">
        <f t="shared" si="50"/>
        <v>59.657667110776678</v>
      </c>
    </row>
    <row r="397" spans="1:13" s="12" customFormat="1" ht="31.5" x14ac:dyDescent="0.2">
      <c r="A397" s="89"/>
      <c r="B397" s="50" t="s">
        <v>146</v>
      </c>
      <c r="C397" s="25">
        <v>918</v>
      </c>
      <c r="D397" s="26" t="s">
        <v>8</v>
      </c>
      <c r="E397" s="13" t="s">
        <v>2</v>
      </c>
      <c r="F397" s="13" t="s">
        <v>4</v>
      </c>
      <c r="G397" s="13" t="s">
        <v>126</v>
      </c>
      <c r="H397" s="13"/>
      <c r="I397" s="13"/>
      <c r="J397" s="26"/>
      <c r="K397" s="17">
        <f t="shared" si="56"/>
        <v>28971.800000000003</v>
      </c>
      <c r="L397" s="17">
        <f t="shared" si="56"/>
        <v>17283.900000000001</v>
      </c>
      <c r="M397" s="17">
        <f t="shared" si="50"/>
        <v>59.657667110776678</v>
      </c>
    </row>
    <row r="398" spans="1:13" s="12" customFormat="1" ht="63" customHeight="1" x14ac:dyDescent="0.2">
      <c r="A398" s="89"/>
      <c r="B398" s="50" t="s">
        <v>147</v>
      </c>
      <c r="C398" s="25">
        <v>918</v>
      </c>
      <c r="D398" s="26" t="s">
        <v>8</v>
      </c>
      <c r="E398" s="13" t="s">
        <v>2</v>
      </c>
      <c r="F398" s="13" t="s">
        <v>4</v>
      </c>
      <c r="G398" s="13" t="s">
        <v>126</v>
      </c>
      <c r="H398" s="13" t="s">
        <v>2</v>
      </c>
      <c r="I398" s="13"/>
      <c r="J398" s="26"/>
      <c r="K398" s="17">
        <f>K399+K401+K403</f>
        <v>28971.800000000003</v>
      </c>
      <c r="L398" s="17">
        <f>L399+L401+L403</f>
        <v>17283.900000000001</v>
      </c>
      <c r="M398" s="17">
        <f t="shared" si="50"/>
        <v>59.657667110776678</v>
      </c>
    </row>
    <row r="399" spans="1:13" s="12" customFormat="1" ht="45" customHeight="1" x14ac:dyDescent="0.2">
      <c r="A399" s="89"/>
      <c r="B399" s="50" t="s">
        <v>400</v>
      </c>
      <c r="C399" s="25">
        <v>918</v>
      </c>
      <c r="D399" s="26" t="s">
        <v>8</v>
      </c>
      <c r="E399" s="26" t="s">
        <v>2</v>
      </c>
      <c r="F399" s="13" t="s">
        <v>4</v>
      </c>
      <c r="G399" s="13" t="s">
        <v>126</v>
      </c>
      <c r="H399" s="13" t="s">
        <v>2</v>
      </c>
      <c r="I399" s="13" t="s">
        <v>351</v>
      </c>
      <c r="J399" s="26"/>
      <c r="K399" s="17">
        <f>K400</f>
        <v>0</v>
      </c>
      <c r="L399" s="17">
        <f>L400</f>
        <v>0</v>
      </c>
      <c r="M399" s="17"/>
    </row>
    <row r="400" spans="1:13" s="12" customFormat="1" ht="31.5" x14ac:dyDescent="0.2">
      <c r="A400" s="89"/>
      <c r="B400" s="33" t="s">
        <v>175</v>
      </c>
      <c r="C400" s="25">
        <v>918</v>
      </c>
      <c r="D400" s="26" t="s">
        <v>8</v>
      </c>
      <c r="E400" s="26" t="s">
        <v>2</v>
      </c>
      <c r="F400" s="13" t="s">
        <v>4</v>
      </c>
      <c r="G400" s="13" t="s">
        <v>126</v>
      </c>
      <c r="H400" s="13" t="s">
        <v>2</v>
      </c>
      <c r="I400" s="13" t="s">
        <v>351</v>
      </c>
      <c r="J400" s="26" t="s">
        <v>58</v>
      </c>
      <c r="K400" s="17">
        <v>0</v>
      </c>
      <c r="L400" s="17">
        <v>0</v>
      </c>
      <c r="M400" s="17"/>
    </row>
    <row r="401" spans="1:13" s="12" customFormat="1" ht="30.6" customHeight="1" x14ac:dyDescent="0.2">
      <c r="A401" s="89"/>
      <c r="B401" s="50" t="s">
        <v>407</v>
      </c>
      <c r="C401" s="25">
        <v>918</v>
      </c>
      <c r="D401" s="26" t="s">
        <v>8</v>
      </c>
      <c r="E401" s="13" t="s">
        <v>2</v>
      </c>
      <c r="F401" s="13" t="s">
        <v>4</v>
      </c>
      <c r="G401" s="13" t="s">
        <v>126</v>
      </c>
      <c r="H401" s="13" t="s">
        <v>2</v>
      </c>
      <c r="I401" s="13" t="s">
        <v>406</v>
      </c>
      <c r="J401" s="26"/>
      <c r="K401" s="17">
        <f>K402</f>
        <v>24687.9</v>
      </c>
      <c r="L401" s="17">
        <f>L402</f>
        <v>13000</v>
      </c>
      <c r="M401" s="17">
        <f t="shared" si="50"/>
        <v>52.657374665321875</v>
      </c>
    </row>
    <row r="402" spans="1:13" s="12" customFormat="1" ht="31.5" x14ac:dyDescent="0.2">
      <c r="A402" s="89"/>
      <c r="B402" s="50" t="s">
        <v>100</v>
      </c>
      <c r="C402" s="25">
        <v>918</v>
      </c>
      <c r="D402" s="26" t="s">
        <v>8</v>
      </c>
      <c r="E402" s="13" t="s">
        <v>2</v>
      </c>
      <c r="F402" s="13" t="s">
        <v>4</v>
      </c>
      <c r="G402" s="13" t="s">
        <v>126</v>
      </c>
      <c r="H402" s="13" t="s">
        <v>2</v>
      </c>
      <c r="I402" s="13" t="s">
        <v>406</v>
      </c>
      <c r="J402" s="26" t="s">
        <v>67</v>
      </c>
      <c r="K402" s="17">
        <f>10986.5+701.4+780.1+12219.9</f>
        <v>24687.9</v>
      </c>
      <c r="L402" s="17">
        <v>13000</v>
      </c>
      <c r="M402" s="17">
        <f t="shared" si="50"/>
        <v>52.657374665321875</v>
      </c>
    </row>
    <row r="403" spans="1:13" s="12" customFormat="1" ht="47.25" x14ac:dyDescent="0.2">
      <c r="A403" s="89"/>
      <c r="B403" s="50" t="s">
        <v>436</v>
      </c>
      <c r="C403" s="25">
        <v>918</v>
      </c>
      <c r="D403" s="26" t="s">
        <v>8</v>
      </c>
      <c r="E403" s="26" t="s">
        <v>2</v>
      </c>
      <c r="F403" s="13" t="s">
        <v>4</v>
      </c>
      <c r="G403" s="13" t="s">
        <v>126</v>
      </c>
      <c r="H403" s="13" t="s">
        <v>2</v>
      </c>
      <c r="I403" s="13" t="s">
        <v>437</v>
      </c>
      <c r="J403" s="26"/>
      <c r="K403" s="17">
        <f>K404</f>
        <v>4283.8999999999996</v>
      </c>
      <c r="L403" s="17">
        <f>L404</f>
        <v>4283.8999999999996</v>
      </c>
      <c r="M403" s="17">
        <f t="shared" si="50"/>
        <v>100</v>
      </c>
    </row>
    <row r="404" spans="1:13" s="12" customFormat="1" ht="31.5" x14ac:dyDescent="0.2">
      <c r="A404" s="89"/>
      <c r="B404" s="50" t="s">
        <v>100</v>
      </c>
      <c r="C404" s="25">
        <v>918</v>
      </c>
      <c r="D404" s="26" t="s">
        <v>8</v>
      </c>
      <c r="E404" s="26" t="s">
        <v>2</v>
      </c>
      <c r="F404" s="13" t="s">
        <v>4</v>
      </c>
      <c r="G404" s="13" t="s">
        <v>126</v>
      </c>
      <c r="H404" s="13" t="s">
        <v>2</v>
      </c>
      <c r="I404" s="13" t="s">
        <v>437</v>
      </c>
      <c r="J404" s="26" t="s">
        <v>67</v>
      </c>
      <c r="K404" s="17">
        <f>1600+1558.1+1125.8</f>
        <v>4283.8999999999996</v>
      </c>
      <c r="L404" s="17">
        <v>4283.8999999999996</v>
      </c>
      <c r="M404" s="17">
        <f t="shared" ref="M404:M467" si="57">L404/K404*100</f>
        <v>100</v>
      </c>
    </row>
    <row r="405" spans="1:13" s="12" customFormat="1" x14ac:dyDescent="0.2">
      <c r="A405" s="89"/>
      <c r="B405" s="33" t="s">
        <v>26</v>
      </c>
      <c r="C405" s="25">
        <v>918</v>
      </c>
      <c r="D405" s="26" t="s">
        <v>8</v>
      </c>
      <c r="E405" s="26" t="s">
        <v>4</v>
      </c>
      <c r="F405" s="13"/>
      <c r="G405" s="25"/>
      <c r="H405" s="13"/>
      <c r="I405" s="13"/>
      <c r="J405" s="13"/>
      <c r="K405" s="17">
        <f>K406</f>
        <v>161959.6</v>
      </c>
      <c r="L405" s="17">
        <f>L406</f>
        <v>53970.099999999991</v>
      </c>
      <c r="M405" s="17">
        <f t="shared" si="57"/>
        <v>33.323186770033999</v>
      </c>
    </row>
    <row r="406" spans="1:13" s="12" customFormat="1" ht="31.5" x14ac:dyDescent="0.2">
      <c r="A406" s="89"/>
      <c r="B406" s="50" t="s">
        <v>352</v>
      </c>
      <c r="C406" s="25">
        <v>918</v>
      </c>
      <c r="D406" s="26" t="s">
        <v>8</v>
      </c>
      <c r="E406" s="26" t="s">
        <v>4</v>
      </c>
      <c r="F406" s="13" t="s">
        <v>4</v>
      </c>
      <c r="G406" s="13"/>
      <c r="H406" s="13"/>
      <c r="I406" s="13"/>
      <c r="J406" s="26"/>
      <c r="K406" s="17">
        <f t="shared" ref="K406:L406" si="58">K407</f>
        <v>161959.6</v>
      </c>
      <c r="L406" s="17">
        <f t="shared" si="58"/>
        <v>53970.099999999991</v>
      </c>
      <c r="M406" s="17">
        <f t="shared" si="57"/>
        <v>33.323186770033999</v>
      </c>
    </row>
    <row r="407" spans="1:13" s="12" customFormat="1" ht="31.5" x14ac:dyDescent="0.2">
      <c r="A407" s="89"/>
      <c r="B407" s="50" t="s">
        <v>146</v>
      </c>
      <c r="C407" s="25">
        <v>918</v>
      </c>
      <c r="D407" s="26" t="s">
        <v>8</v>
      </c>
      <c r="E407" s="26" t="s">
        <v>4</v>
      </c>
      <c r="F407" s="13" t="s">
        <v>4</v>
      </c>
      <c r="G407" s="13" t="s">
        <v>126</v>
      </c>
      <c r="H407" s="13"/>
      <c r="I407" s="13"/>
      <c r="J407" s="26"/>
      <c r="K407" s="17">
        <f>K408</f>
        <v>161959.6</v>
      </c>
      <c r="L407" s="17">
        <f>L408</f>
        <v>53970.099999999991</v>
      </c>
      <c r="M407" s="17">
        <f t="shared" si="57"/>
        <v>33.323186770033999</v>
      </c>
    </row>
    <row r="408" spans="1:13" s="12" customFormat="1" ht="63.6" customHeight="1" x14ac:dyDescent="0.2">
      <c r="A408" s="89"/>
      <c r="B408" s="50" t="s">
        <v>147</v>
      </c>
      <c r="C408" s="25">
        <v>918</v>
      </c>
      <c r="D408" s="26" t="s">
        <v>8</v>
      </c>
      <c r="E408" s="26" t="s">
        <v>4</v>
      </c>
      <c r="F408" s="13" t="s">
        <v>4</v>
      </c>
      <c r="G408" s="13" t="s">
        <v>126</v>
      </c>
      <c r="H408" s="13" t="s">
        <v>2</v>
      </c>
      <c r="I408" s="13"/>
      <c r="J408" s="26"/>
      <c r="K408" s="17">
        <f>K414+K416+K409+K412+K418</f>
        <v>161959.6</v>
      </c>
      <c r="L408" s="17">
        <f>L414+L416+L409+L412+L418</f>
        <v>53970.099999999991</v>
      </c>
      <c r="M408" s="17">
        <f t="shared" si="57"/>
        <v>33.323186770033999</v>
      </c>
    </row>
    <row r="409" spans="1:13" s="12" customFormat="1" ht="48" customHeight="1" x14ac:dyDescent="0.2">
      <c r="A409" s="89"/>
      <c r="B409" s="50" t="s">
        <v>400</v>
      </c>
      <c r="C409" s="25">
        <v>918</v>
      </c>
      <c r="D409" s="26" t="s">
        <v>8</v>
      </c>
      <c r="E409" s="26" t="s">
        <v>4</v>
      </c>
      <c r="F409" s="13" t="s">
        <v>4</v>
      </c>
      <c r="G409" s="13" t="s">
        <v>126</v>
      </c>
      <c r="H409" s="13" t="s">
        <v>2</v>
      </c>
      <c r="I409" s="13" t="s">
        <v>351</v>
      </c>
      <c r="J409" s="26"/>
      <c r="K409" s="17">
        <f>K410+K411</f>
        <v>2365.1</v>
      </c>
      <c r="L409" s="17">
        <f>L410+L411</f>
        <v>1485.5</v>
      </c>
      <c r="M409" s="17">
        <f t="shared" si="57"/>
        <v>62.809183544036195</v>
      </c>
    </row>
    <row r="410" spans="1:13" s="12" customFormat="1" ht="31.5" x14ac:dyDescent="0.2">
      <c r="A410" s="89"/>
      <c r="B410" s="33" t="s">
        <v>175</v>
      </c>
      <c r="C410" s="25">
        <v>918</v>
      </c>
      <c r="D410" s="26" t="s">
        <v>8</v>
      </c>
      <c r="E410" s="26" t="s">
        <v>4</v>
      </c>
      <c r="F410" s="13" t="s">
        <v>4</v>
      </c>
      <c r="G410" s="13" t="s">
        <v>126</v>
      </c>
      <c r="H410" s="13" t="s">
        <v>2</v>
      </c>
      <c r="I410" s="13" t="s">
        <v>351</v>
      </c>
      <c r="J410" s="26" t="s">
        <v>58</v>
      </c>
      <c r="K410" s="17">
        <f>804.7+193.9+0.1+624.8</f>
        <v>1623.5</v>
      </c>
      <c r="L410" s="17">
        <v>1485.5</v>
      </c>
      <c r="M410" s="17">
        <f t="shared" si="57"/>
        <v>91.499846011703113</v>
      </c>
    </row>
    <row r="411" spans="1:13" s="12" customFormat="1" ht="31.5" x14ac:dyDescent="0.2">
      <c r="A411" s="89"/>
      <c r="B411" s="50" t="s">
        <v>100</v>
      </c>
      <c r="C411" s="25">
        <v>918</v>
      </c>
      <c r="D411" s="26" t="s">
        <v>8</v>
      </c>
      <c r="E411" s="26" t="s">
        <v>4</v>
      </c>
      <c r="F411" s="13" t="s">
        <v>4</v>
      </c>
      <c r="G411" s="13" t="s">
        <v>126</v>
      </c>
      <c r="H411" s="13" t="s">
        <v>2</v>
      </c>
      <c r="I411" s="13" t="s">
        <v>351</v>
      </c>
      <c r="J411" s="26" t="s">
        <v>67</v>
      </c>
      <c r="K411" s="17">
        <f>1320.6+102.2-681.5+0.3</f>
        <v>741.59999999999991</v>
      </c>
      <c r="L411" s="17">
        <v>0</v>
      </c>
      <c r="M411" s="17">
        <f t="shared" si="57"/>
        <v>0</v>
      </c>
    </row>
    <row r="412" spans="1:13" s="12" customFormat="1" ht="32.450000000000003" customHeight="1" x14ac:dyDescent="0.2">
      <c r="A412" s="89"/>
      <c r="B412" s="33" t="s">
        <v>534</v>
      </c>
      <c r="C412" s="25">
        <v>918</v>
      </c>
      <c r="D412" s="26" t="s">
        <v>8</v>
      </c>
      <c r="E412" s="26" t="s">
        <v>4</v>
      </c>
      <c r="F412" s="13" t="s">
        <v>4</v>
      </c>
      <c r="G412" s="13" t="s">
        <v>126</v>
      </c>
      <c r="H412" s="13" t="s">
        <v>2</v>
      </c>
      <c r="I412" s="13" t="s">
        <v>533</v>
      </c>
      <c r="J412" s="26"/>
      <c r="K412" s="17">
        <f>K413</f>
        <v>127023.4</v>
      </c>
      <c r="L412" s="17">
        <f>L413</f>
        <v>51347.199999999997</v>
      </c>
      <c r="M412" s="17">
        <f t="shared" si="57"/>
        <v>40.4234180473834</v>
      </c>
    </row>
    <row r="413" spans="1:13" s="12" customFormat="1" ht="31.5" x14ac:dyDescent="0.2">
      <c r="A413" s="89"/>
      <c r="B413" s="33" t="s">
        <v>175</v>
      </c>
      <c r="C413" s="25">
        <v>918</v>
      </c>
      <c r="D413" s="26" t="s">
        <v>8</v>
      </c>
      <c r="E413" s="26" t="s">
        <v>4</v>
      </c>
      <c r="F413" s="13" t="s">
        <v>4</v>
      </c>
      <c r="G413" s="13" t="s">
        <v>126</v>
      </c>
      <c r="H413" s="13" t="s">
        <v>2</v>
      </c>
      <c r="I413" s="13" t="s">
        <v>533</v>
      </c>
      <c r="J413" s="26" t="s">
        <v>58</v>
      </c>
      <c r="K413" s="17">
        <f>151459+9667.8-34103.4</f>
        <v>127023.4</v>
      </c>
      <c r="L413" s="17">
        <v>51347.199999999997</v>
      </c>
      <c r="M413" s="17">
        <f t="shared" si="57"/>
        <v>40.4234180473834</v>
      </c>
    </row>
    <row r="414" spans="1:13" s="12" customFormat="1" ht="34.9" customHeight="1" x14ac:dyDescent="0.2">
      <c r="A414" s="89"/>
      <c r="B414" s="50" t="s">
        <v>407</v>
      </c>
      <c r="C414" s="25">
        <v>918</v>
      </c>
      <c r="D414" s="26" t="s">
        <v>8</v>
      </c>
      <c r="E414" s="26" t="s">
        <v>4</v>
      </c>
      <c r="F414" s="13" t="s">
        <v>4</v>
      </c>
      <c r="G414" s="13" t="s">
        <v>126</v>
      </c>
      <c r="H414" s="13" t="s">
        <v>2</v>
      </c>
      <c r="I414" s="13" t="s">
        <v>406</v>
      </c>
      <c r="J414" s="26"/>
      <c r="K414" s="17">
        <f>K415</f>
        <v>0</v>
      </c>
      <c r="L414" s="17">
        <f>L415</f>
        <v>0</v>
      </c>
      <c r="M414" s="17"/>
    </row>
    <row r="415" spans="1:13" s="12" customFormat="1" ht="31.5" x14ac:dyDescent="0.2">
      <c r="A415" s="89"/>
      <c r="B415" s="50" t="s">
        <v>100</v>
      </c>
      <c r="C415" s="25">
        <v>918</v>
      </c>
      <c r="D415" s="26" t="s">
        <v>8</v>
      </c>
      <c r="E415" s="26" t="s">
        <v>4</v>
      </c>
      <c r="F415" s="13" t="s">
        <v>4</v>
      </c>
      <c r="G415" s="13" t="s">
        <v>126</v>
      </c>
      <c r="H415" s="13" t="s">
        <v>2</v>
      </c>
      <c r="I415" s="13" t="s">
        <v>406</v>
      </c>
      <c r="J415" s="26" t="s">
        <v>67</v>
      </c>
      <c r="K415" s="17">
        <v>0</v>
      </c>
      <c r="L415" s="17">
        <v>0</v>
      </c>
      <c r="M415" s="17"/>
    </row>
    <row r="416" spans="1:13" s="12" customFormat="1" ht="47.25" x14ac:dyDescent="0.2">
      <c r="A416" s="89"/>
      <c r="B416" s="50" t="s">
        <v>436</v>
      </c>
      <c r="C416" s="25">
        <v>918</v>
      </c>
      <c r="D416" s="26" t="s">
        <v>8</v>
      </c>
      <c r="E416" s="26" t="s">
        <v>4</v>
      </c>
      <c r="F416" s="13" t="s">
        <v>4</v>
      </c>
      <c r="G416" s="13" t="s">
        <v>126</v>
      </c>
      <c r="H416" s="13" t="s">
        <v>2</v>
      </c>
      <c r="I416" s="13" t="s">
        <v>437</v>
      </c>
      <c r="J416" s="26"/>
      <c r="K416" s="17">
        <f>K417</f>
        <v>446.20000000000005</v>
      </c>
      <c r="L416" s="17">
        <f>L417</f>
        <v>446.2</v>
      </c>
      <c r="M416" s="17">
        <f t="shared" si="57"/>
        <v>99.999999999999986</v>
      </c>
    </row>
    <row r="417" spans="1:13" s="12" customFormat="1" ht="31.5" x14ac:dyDescent="0.2">
      <c r="A417" s="89"/>
      <c r="B417" s="50" t="s">
        <v>100</v>
      </c>
      <c r="C417" s="25">
        <v>918</v>
      </c>
      <c r="D417" s="26" t="s">
        <v>8</v>
      </c>
      <c r="E417" s="26" t="s">
        <v>4</v>
      </c>
      <c r="F417" s="13" t="s">
        <v>4</v>
      </c>
      <c r="G417" s="13" t="s">
        <v>126</v>
      </c>
      <c r="H417" s="13" t="s">
        <v>2</v>
      </c>
      <c r="I417" s="13" t="s">
        <v>437</v>
      </c>
      <c r="J417" s="26" t="s">
        <v>67</v>
      </c>
      <c r="K417" s="17">
        <f>356.3+89.9</f>
        <v>446.20000000000005</v>
      </c>
      <c r="L417" s="17">
        <v>446.2</v>
      </c>
      <c r="M417" s="17">
        <f t="shared" si="57"/>
        <v>99.999999999999986</v>
      </c>
    </row>
    <row r="418" spans="1:13" s="12" customFormat="1" ht="31.5" x14ac:dyDescent="0.2">
      <c r="A418" s="89"/>
      <c r="B418" s="33" t="s">
        <v>545</v>
      </c>
      <c r="C418" s="25">
        <v>918</v>
      </c>
      <c r="D418" s="26" t="s">
        <v>8</v>
      </c>
      <c r="E418" s="26" t="s">
        <v>4</v>
      </c>
      <c r="F418" s="13" t="s">
        <v>4</v>
      </c>
      <c r="G418" s="13" t="s">
        <v>126</v>
      </c>
      <c r="H418" s="13" t="s">
        <v>2</v>
      </c>
      <c r="I418" s="13" t="s">
        <v>544</v>
      </c>
      <c r="J418" s="26"/>
      <c r="K418" s="17">
        <f>K419</f>
        <v>32124.9</v>
      </c>
      <c r="L418" s="17">
        <f>L419</f>
        <v>691.2</v>
      </c>
      <c r="M418" s="17">
        <f t="shared" si="57"/>
        <v>2.1516020283331621</v>
      </c>
    </row>
    <row r="419" spans="1:13" s="12" customFormat="1" ht="30.75" customHeight="1" x14ac:dyDescent="0.2">
      <c r="A419" s="89"/>
      <c r="B419" s="33" t="s">
        <v>175</v>
      </c>
      <c r="C419" s="25">
        <v>918</v>
      </c>
      <c r="D419" s="26" t="s">
        <v>8</v>
      </c>
      <c r="E419" s="26" t="s">
        <v>4</v>
      </c>
      <c r="F419" s="13" t="s">
        <v>4</v>
      </c>
      <c r="G419" s="13" t="s">
        <v>126</v>
      </c>
      <c r="H419" s="13" t="s">
        <v>2</v>
      </c>
      <c r="I419" s="13" t="s">
        <v>544</v>
      </c>
      <c r="J419" s="26" t="s">
        <v>58</v>
      </c>
      <c r="K419" s="17">
        <f>32666.1-26035.1+25493.9</f>
        <v>32124.9</v>
      </c>
      <c r="L419" s="17">
        <v>691.2</v>
      </c>
      <c r="M419" s="17">
        <f t="shared" si="57"/>
        <v>2.1516020283331621</v>
      </c>
    </row>
    <row r="420" spans="1:13" s="12" customFormat="1" ht="33" customHeight="1" x14ac:dyDescent="0.2">
      <c r="A420" s="89"/>
      <c r="B420" s="33" t="s">
        <v>457</v>
      </c>
      <c r="C420" s="42">
        <v>918</v>
      </c>
      <c r="D420" s="26" t="s">
        <v>8</v>
      </c>
      <c r="E420" s="26" t="s">
        <v>7</v>
      </c>
      <c r="F420" s="13"/>
      <c r="G420" s="13"/>
      <c r="H420" s="13"/>
      <c r="I420" s="13"/>
      <c r="J420" s="26"/>
      <c r="K420" s="17">
        <f t="shared" ref="K420:L424" si="59">SUM(K421)</f>
        <v>16.7</v>
      </c>
      <c r="L420" s="17">
        <f t="shared" si="59"/>
        <v>0</v>
      </c>
      <c r="M420" s="17">
        <f t="shared" si="57"/>
        <v>0</v>
      </c>
    </row>
    <row r="421" spans="1:13" s="12" customFormat="1" ht="35.450000000000003" customHeight="1" x14ac:dyDescent="0.2">
      <c r="A421" s="89"/>
      <c r="B421" s="33" t="s">
        <v>275</v>
      </c>
      <c r="C421" s="42">
        <v>918</v>
      </c>
      <c r="D421" s="26" t="s">
        <v>8</v>
      </c>
      <c r="E421" s="26" t="s">
        <v>7</v>
      </c>
      <c r="F421" s="13" t="s">
        <v>4</v>
      </c>
      <c r="G421" s="13"/>
      <c r="H421" s="13"/>
      <c r="I421" s="13"/>
      <c r="J421" s="26"/>
      <c r="K421" s="17">
        <f t="shared" si="59"/>
        <v>16.7</v>
      </c>
      <c r="L421" s="17">
        <f t="shared" si="59"/>
        <v>0</v>
      </c>
      <c r="M421" s="17">
        <f t="shared" si="57"/>
        <v>0</v>
      </c>
    </row>
    <row r="422" spans="1:13" s="12" customFormat="1" ht="30.75" customHeight="1" x14ac:dyDescent="0.2">
      <c r="A422" s="89"/>
      <c r="B422" s="33" t="s">
        <v>146</v>
      </c>
      <c r="C422" s="42">
        <v>918</v>
      </c>
      <c r="D422" s="26" t="s">
        <v>8</v>
      </c>
      <c r="E422" s="26" t="s">
        <v>7</v>
      </c>
      <c r="F422" s="13" t="s">
        <v>4</v>
      </c>
      <c r="G422" s="13" t="s">
        <v>126</v>
      </c>
      <c r="H422" s="13"/>
      <c r="I422" s="13"/>
      <c r="J422" s="26"/>
      <c r="K422" s="17">
        <f t="shared" si="59"/>
        <v>16.7</v>
      </c>
      <c r="L422" s="17">
        <f t="shared" si="59"/>
        <v>0</v>
      </c>
      <c r="M422" s="17">
        <f t="shared" si="57"/>
        <v>0</v>
      </c>
    </row>
    <row r="423" spans="1:13" s="12" customFormat="1" ht="48" customHeight="1" x14ac:dyDescent="0.2">
      <c r="A423" s="89"/>
      <c r="B423" s="33" t="s">
        <v>312</v>
      </c>
      <c r="C423" s="42">
        <v>918</v>
      </c>
      <c r="D423" s="26" t="s">
        <v>8</v>
      </c>
      <c r="E423" s="26" t="s">
        <v>7</v>
      </c>
      <c r="F423" s="13" t="s">
        <v>4</v>
      </c>
      <c r="G423" s="13" t="s">
        <v>126</v>
      </c>
      <c r="H423" s="13" t="s">
        <v>4</v>
      </c>
      <c r="I423" s="13"/>
      <c r="J423" s="26"/>
      <c r="K423" s="17">
        <f t="shared" si="59"/>
        <v>16.7</v>
      </c>
      <c r="L423" s="17">
        <f t="shared" si="59"/>
        <v>0</v>
      </c>
      <c r="M423" s="17">
        <f t="shared" si="57"/>
        <v>0</v>
      </c>
    </row>
    <row r="424" spans="1:13" s="12" customFormat="1" ht="21.6" customHeight="1" x14ac:dyDescent="0.2">
      <c r="A424" s="89"/>
      <c r="B424" s="33" t="s">
        <v>459</v>
      </c>
      <c r="C424" s="42">
        <v>918</v>
      </c>
      <c r="D424" s="26" t="s">
        <v>8</v>
      </c>
      <c r="E424" s="26" t="s">
        <v>7</v>
      </c>
      <c r="F424" s="13" t="s">
        <v>4</v>
      </c>
      <c r="G424" s="13" t="s">
        <v>126</v>
      </c>
      <c r="H424" s="13" t="s">
        <v>4</v>
      </c>
      <c r="I424" s="13" t="s">
        <v>458</v>
      </c>
      <c r="J424" s="26"/>
      <c r="K424" s="17">
        <f t="shared" si="59"/>
        <v>16.7</v>
      </c>
      <c r="L424" s="17">
        <f t="shared" si="59"/>
        <v>0</v>
      </c>
      <c r="M424" s="17">
        <f t="shared" si="57"/>
        <v>0</v>
      </c>
    </row>
    <row r="425" spans="1:13" s="12" customFormat="1" ht="31.9" customHeight="1" x14ac:dyDescent="0.2">
      <c r="A425" s="89"/>
      <c r="B425" s="33" t="s">
        <v>175</v>
      </c>
      <c r="C425" s="42">
        <v>918</v>
      </c>
      <c r="D425" s="26" t="s">
        <v>8</v>
      </c>
      <c r="E425" s="26" t="s">
        <v>7</v>
      </c>
      <c r="F425" s="13" t="s">
        <v>4</v>
      </c>
      <c r="G425" s="13" t="s">
        <v>126</v>
      </c>
      <c r="H425" s="13" t="s">
        <v>4</v>
      </c>
      <c r="I425" s="13" t="s">
        <v>458</v>
      </c>
      <c r="J425" s="26" t="s">
        <v>58</v>
      </c>
      <c r="K425" s="17">
        <v>16.7</v>
      </c>
      <c r="L425" s="17">
        <v>0</v>
      </c>
      <c r="M425" s="17">
        <f t="shared" si="57"/>
        <v>0</v>
      </c>
    </row>
    <row r="426" spans="1:13" s="12" customFormat="1" x14ac:dyDescent="0.2">
      <c r="A426" s="89"/>
      <c r="B426" s="56" t="s">
        <v>79</v>
      </c>
      <c r="C426" s="25">
        <v>918</v>
      </c>
      <c r="D426" s="13" t="s">
        <v>23</v>
      </c>
      <c r="E426" s="13"/>
      <c r="F426" s="13"/>
      <c r="G426" s="25"/>
      <c r="H426" s="13"/>
      <c r="I426" s="13"/>
      <c r="J426" s="13"/>
      <c r="K426" s="17">
        <f>K427+K433</f>
        <v>86566.599999999991</v>
      </c>
      <c r="L426" s="17">
        <f>L427+L433</f>
        <v>334.3</v>
      </c>
      <c r="M426" s="17">
        <f t="shared" si="57"/>
        <v>0.38617665473750851</v>
      </c>
    </row>
    <row r="427" spans="1:13" s="12" customFormat="1" x14ac:dyDescent="0.2">
      <c r="A427" s="89"/>
      <c r="B427" s="33" t="s">
        <v>538</v>
      </c>
      <c r="C427" s="25">
        <v>918</v>
      </c>
      <c r="D427" s="13" t="s">
        <v>23</v>
      </c>
      <c r="E427" s="13" t="s">
        <v>2</v>
      </c>
      <c r="F427" s="13"/>
      <c r="G427" s="25"/>
      <c r="H427" s="13"/>
      <c r="I427" s="13"/>
      <c r="J427" s="13"/>
      <c r="K427" s="17">
        <f t="shared" ref="K427:L431" si="60">K428</f>
        <v>39.200000000000003</v>
      </c>
      <c r="L427" s="17">
        <f t="shared" si="60"/>
        <v>0</v>
      </c>
      <c r="M427" s="17">
        <f t="shared" si="57"/>
        <v>0</v>
      </c>
    </row>
    <row r="428" spans="1:13" s="12" customFormat="1" ht="31.5" x14ac:dyDescent="0.2">
      <c r="A428" s="89"/>
      <c r="B428" s="33" t="s">
        <v>275</v>
      </c>
      <c r="C428" s="25">
        <v>918</v>
      </c>
      <c r="D428" s="13" t="s">
        <v>23</v>
      </c>
      <c r="E428" s="13" t="s">
        <v>2</v>
      </c>
      <c r="F428" s="13" t="s">
        <v>4</v>
      </c>
      <c r="G428" s="25"/>
      <c r="H428" s="13"/>
      <c r="I428" s="13"/>
      <c r="J428" s="13"/>
      <c r="K428" s="17">
        <f t="shared" si="60"/>
        <v>39.200000000000003</v>
      </c>
      <c r="L428" s="17">
        <f t="shared" si="60"/>
        <v>0</v>
      </c>
      <c r="M428" s="17">
        <f t="shared" si="57"/>
        <v>0</v>
      </c>
    </row>
    <row r="429" spans="1:13" s="12" customFormat="1" ht="31.5" x14ac:dyDescent="0.2">
      <c r="A429" s="89"/>
      <c r="B429" s="33" t="s">
        <v>146</v>
      </c>
      <c r="C429" s="25">
        <v>918</v>
      </c>
      <c r="D429" s="13" t="s">
        <v>23</v>
      </c>
      <c r="E429" s="13" t="s">
        <v>2</v>
      </c>
      <c r="F429" s="13" t="s">
        <v>4</v>
      </c>
      <c r="G429" s="25">
        <v>1</v>
      </c>
      <c r="H429" s="13"/>
      <c r="I429" s="13"/>
      <c r="J429" s="13"/>
      <c r="K429" s="17">
        <f t="shared" si="60"/>
        <v>39.200000000000003</v>
      </c>
      <c r="L429" s="17">
        <f t="shared" si="60"/>
        <v>0</v>
      </c>
      <c r="M429" s="17">
        <f t="shared" si="57"/>
        <v>0</v>
      </c>
    </row>
    <row r="430" spans="1:13" s="12" customFormat="1" ht="65.45" customHeight="1" x14ac:dyDescent="0.2">
      <c r="A430" s="89"/>
      <c r="B430" s="50" t="s">
        <v>147</v>
      </c>
      <c r="C430" s="25">
        <v>918</v>
      </c>
      <c r="D430" s="13" t="s">
        <v>23</v>
      </c>
      <c r="E430" s="13" t="s">
        <v>2</v>
      </c>
      <c r="F430" s="13" t="s">
        <v>4</v>
      </c>
      <c r="G430" s="25">
        <v>1</v>
      </c>
      <c r="H430" s="13" t="s">
        <v>2</v>
      </c>
      <c r="I430" s="13"/>
      <c r="J430" s="13"/>
      <c r="K430" s="17">
        <f t="shared" si="60"/>
        <v>39.200000000000003</v>
      </c>
      <c r="L430" s="17">
        <f t="shared" si="60"/>
        <v>0</v>
      </c>
      <c r="M430" s="17">
        <f t="shared" si="57"/>
        <v>0</v>
      </c>
    </row>
    <row r="431" spans="1:13" s="12" customFormat="1" ht="47.25" x14ac:dyDescent="0.2">
      <c r="A431" s="89"/>
      <c r="B431" s="50" t="s">
        <v>436</v>
      </c>
      <c r="C431" s="25">
        <v>918</v>
      </c>
      <c r="D431" s="13" t="s">
        <v>23</v>
      </c>
      <c r="E431" s="13" t="s">
        <v>2</v>
      </c>
      <c r="F431" s="13" t="s">
        <v>4</v>
      </c>
      <c r="G431" s="25">
        <v>1</v>
      </c>
      <c r="H431" s="13" t="s">
        <v>2</v>
      </c>
      <c r="I431" s="13" t="s">
        <v>437</v>
      </c>
      <c r="J431" s="13"/>
      <c r="K431" s="17">
        <f t="shared" si="60"/>
        <v>39.200000000000003</v>
      </c>
      <c r="L431" s="17">
        <f t="shared" si="60"/>
        <v>0</v>
      </c>
      <c r="M431" s="17">
        <f t="shared" si="57"/>
        <v>0</v>
      </c>
    </row>
    <row r="432" spans="1:13" s="12" customFormat="1" ht="31.5" x14ac:dyDescent="0.2">
      <c r="A432" s="89"/>
      <c r="B432" s="33" t="s">
        <v>100</v>
      </c>
      <c r="C432" s="25">
        <v>918</v>
      </c>
      <c r="D432" s="13" t="s">
        <v>23</v>
      </c>
      <c r="E432" s="13" t="s">
        <v>2</v>
      </c>
      <c r="F432" s="13" t="s">
        <v>4</v>
      </c>
      <c r="G432" s="25">
        <v>1</v>
      </c>
      <c r="H432" s="13" t="s">
        <v>2</v>
      </c>
      <c r="I432" s="13" t="s">
        <v>437</v>
      </c>
      <c r="J432" s="13" t="s">
        <v>67</v>
      </c>
      <c r="K432" s="17">
        <f>39.2</f>
        <v>39.200000000000003</v>
      </c>
      <c r="L432" s="17">
        <v>0</v>
      </c>
      <c r="M432" s="17">
        <f t="shared" si="57"/>
        <v>0</v>
      </c>
    </row>
    <row r="433" spans="1:13" s="12" customFormat="1" x14ac:dyDescent="0.2">
      <c r="A433" s="89"/>
      <c r="B433" s="56" t="s">
        <v>535</v>
      </c>
      <c r="C433" s="25">
        <v>918</v>
      </c>
      <c r="D433" s="13" t="s">
        <v>23</v>
      </c>
      <c r="E433" s="13" t="s">
        <v>5</v>
      </c>
      <c r="F433" s="13"/>
      <c r="G433" s="25"/>
      <c r="H433" s="13"/>
      <c r="I433" s="13"/>
      <c r="J433" s="13"/>
      <c r="K433" s="17">
        <f t="shared" ref="K433:L435" si="61">K434</f>
        <v>86527.4</v>
      </c>
      <c r="L433" s="17">
        <f t="shared" si="61"/>
        <v>334.3</v>
      </c>
      <c r="M433" s="17">
        <f t="shared" si="57"/>
        <v>0.38635160654312972</v>
      </c>
    </row>
    <row r="434" spans="1:13" s="12" customFormat="1" ht="31.5" x14ac:dyDescent="0.2">
      <c r="A434" s="89"/>
      <c r="B434" s="56" t="s">
        <v>275</v>
      </c>
      <c r="C434" s="25">
        <v>918</v>
      </c>
      <c r="D434" s="13" t="s">
        <v>23</v>
      </c>
      <c r="E434" s="13" t="s">
        <v>5</v>
      </c>
      <c r="F434" s="13" t="s">
        <v>4</v>
      </c>
      <c r="G434" s="25"/>
      <c r="H434" s="13"/>
      <c r="I434" s="13"/>
      <c r="J434" s="13"/>
      <c r="K434" s="17">
        <f t="shared" si="61"/>
        <v>86527.4</v>
      </c>
      <c r="L434" s="17">
        <f t="shared" si="61"/>
        <v>334.3</v>
      </c>
      <c r="M434" s="17">
        <f t="shared" si="57"/>
        <v>0.38635160654312972</v>
      </c>
    </row>
    <row r="435" spans="1:13" s="12" customFormat="1" ht="31.5" x14ac:dyDescent="0.2">
      <c r="A435" s="89"/>
      <c r="B435" s="56" t="s">
        <v>146</v>
      </c>
      <c r="C435" s="25">
        <v>918</v>
      </c>
      <c r="D435" s="13" t="s">
        <v>23</v>
      </c>
      <c r="E435" s="13" t="s">
        <v>5</v>
      </c>
      <c r="F435" s="13" t="s">
        <v>4</v>
      </c>
      <c r="G435" s="25">
        <v>1</v>
      </c>
      <c r="H435" s="13"/>
      <c r="I435" s="13"/>
      <c r="J435" s="13"/>
      <c r="K435" s="17">
        <f t="shared" si="61"/>
        <v>86527.4</v>
      </c>
      <c r="L435" s="17">
        <f t="shared" si="61"/>
        <v>334.3</v>
      </c>
      <c r="M435" s="17">
        <f t="shared" si="57"/>
        <v>0.38635160654312972</v>
      </c>
    </row>
    <row r="436" spans="1:13" s="12" customFormat="1" ht="61.15" customHeight="1" x14ac:dyDescent="0.2">
      <c r="A436" s="89"/>
      <c r="B436" s="60" t="s">
        <v>147</v>
      </c>
      <c r="C436" s="25">
        <v>918</v>
      </c>
      <c r="D436" s="13" t="s">
        <v>23</v>
      </c>
      <c r="E436" s="13" t="s">
        <v>5</v>
      </c>
      <c r="F436" s="13" t="s">
        <v>4</v>
      </c>
      <c r="G436" s="25">
        <v>1</v>
      </c>
      <c r="H436" s="13" t="s">
        <v>2</v>
      </c>
      <c r="I436" s="13"/>
      <c r="J436" s="13"/>
      <c r="K436" s="17">
        <f>K437+K441+K439</f>
        <v>86527.4</v>
      </c>
      <c r="L436" s="17">
        <f>L437+L441+L439</f>
        <v>334.3</v>
      </c>
      <c r="M436" s="17">
        <f t="shared" si="57"/>
        <v>0.38635160654312972</v>
      </c>
    </row>
    <row r="437" spans="1:13" s="12" customFormat="1" ht="49.15" customHeight="1" x14ac:dyDescent="0.2">
      <c r="A437" s="89"/>
      <c r="B437" s="56" t="s">
        <v>400</v>
      </c>
      <c r="C437" s="25">
        <v>918</v>
      </c>
      <c r="D437" s="13" t="s">
        <v>23</v>
      </c>
      <c r="E437" s="13" t="s">
        <v>5</v>
      </c>
      <c r="F437" s="13" t="s">
        <v>4</v>
      </c>
      <c r="G437" s="25">
        <v>1</v>
      </c>
      <c r="H437" s="13" t="s">
        <v>2</v>
      </c>
      <c r="I437" s="13" t="s">
        <v>351</v>
      </c>
      <c r="J437" s="13"/>
      <c r="K437" s="17">
        <f>K438</f>
        <v>9500</v>
      </c>
      <c r="L437" s="17">
        <f>L438</f>
        <v>0</v>
      </c>
      <c r="M437" s="17">
        <f t="shared" si="57"/>
        <v>0</v>
      </c>
    </row>
    <row r="438" spans="1:13" s="12" customFormat="1" ht="31.5" x14ac:dyDescent="0.2">
      <c r="A438" s="89"/>
      <c r="B438" s="56" t="s">
        <v>100</v>
      </c>
      <c r="C438" s="25">
        <v>918</v>
      </c>
      <c r="D438" s="13" t="s">
        <v>23</v>
      </c>
      <c r="E438" s="13" t="s">
        <v>5</v>
      </c>
      <c r="F438" s="13" t="s">
        <v>4</v>
      </c>
      <c r="G438" s="25">
        <v>1</v>
      </c>
      <c r="H438" s="13" t="s">
        <v>2</v>
      </c>
      <c r="I438" s="13" t="s">
        <v>351</v>
      </c>
      <c r="J438" s="13" t="s">
        <v>67</v>
      </c>
      <c r="K438" s="17">
        <f>9589.4-89.4</f>
        <v>9500</v>
      </c>
      <c r="L438" s="17">
        <v>0</v>
      </c>
      <c r="M438" s="17">
        <f t="shared" si="57"/>
        <v>0</v>
      </c>
    </row>
    <row r="439" spans="1:13" s="12" customFormat="1" ht="33.6" customHeight="1" x14ac:dyDescent="0.2">
      <c r="A439" s="89"/>
      <c r="B439" s="33" t="s">
        <v>566</v>
      </c>
      <c r="C439" s="25">
        <v>918</v>
      </c>
      <c r="D439" s="13" t="s">
        <v>23</v>
      </c>
      <c r="E439" s="13" t="s">
        <v>5</v>
      </c>
      <c r="F439" s="13" t="s">
        <v>4</v>
      </c>
      <c r="G439" s="13" t="s">
        <v>126</v>
      </c>
      <c r="H439" s="13" t="s">
        <v>2</v>
      </c>
      <c r="I439" s="13" t="s">
        <v>406</v>
      </c>
      <c r="J439" s="26"/>
      <c r="K439" s="17">
        <f>K440</f>
        <v>75769.099999999991</v>
      </c>
      <c r="L439" s="17">
        <f>L440</f>
        <v>0</v>
      </c>
      <c r="M439" s="17">
        <f t="shared" si="57"/>
        <v>0</v>
      </c>
    </row>
    <row r="440" spans="1:13" s="12" customFormat="1" ht="31.5" x14ac:dyDescent="0.2">
      <c r="A440" s="89"/>
      <c r="B440" s="56" t="s">
        <v>100</v>
      </c>
      <c r="C440" s="25">
        <v>918</v>
      </c>
      <c r="D440" s="13" t="s">
        <v>23</v>
      </c>
      <c r="E440" s="13" t="s">
        <v>5</v>
      </c>
      <c r="F440" s="13" t="s">
        <v>4</v>
      </c>
      <c r="G440" s="13" t="s">
        <v>126</v>
      </c>
      <c r="H440" s="13" t="s">
        <v>2</v>
      </c>
      <c r="I440" s="13" t="s">
        <v>406</v>
      </c>
      <c r="J440" s="26" t="s">
        <v>67</v>
      </c>
      <c r="K440" s="17">
        <f>71222.9+4546.2</f>
        <v>75769.099999999991</v>
      </c>
      <c r="L440" s="17">
        <v>0</v>
      </c>
      <c r="M440" s="17">
        <f t="shared" si="57"/>
        <v>0</v>
      </c>
    </row>
    <row r="441" spans="1:13" s="12" customFormat="1" ht="47.25" x14ac:dyDescent="0.2">
      <c r="A441" s="89"/>
      <c r="B441" s="60" t="s">
        <v>436</v>
      </c>
      <c r="C441" s="25">
        <v>918</v>
      </c>
      <c r="D441" s="13" t="s">
        <v>23</v>
      </c>
      <c r="E441" s="13" t="s">
        <v>5</v>
      </c>
      <c r="F441" s="13" t="s">
        <v>4</v>
      </c>
      <c r="G441" s="25">
        <v>1</v>
      </c>
      <c r="H441" s="13" t="s">
        <v>2</v>
      </c>
      <c r="I441" s="13" t="s">
        <v>437</v>
      </c>
      <c r="J441" s="13"/>
      <c r="K441" s="17">
        <f>K442</f>
        <v>1258.3</v>
      </c>
      <c r="L441" s="17">
        <f>L442</f>
        <v>334.3</v>
      </c>
      <c r="M441" s="17">
        <f t="shared" si="57"/>
        <v>26.567591194468733</v>
      </c>
    </row>
    <row r="442" spans="1:13" s="12" customFormat="1" ht="36" customHeight="1" x14ac:dyDescent="0.2">
      <c r="A442" s="89"/>
      <c r="B442" s="56" t="s">
        <v>100</v>
      </c>
      <c r="C442" s="25">
        <v>918</v>
      </c>
      <c r="D442" s="13" t="s">
        <v>23</v>
      </c>
      <c r="E442" s="13" t="s">
        <v>5</v>
      </c>
      <c r="F442" s="13" t="s">
        <v>4</v>
      </c>
      <c r="G442" s="25">
        <v>1</v>
      </c>
      <c r="H442" s="13" t="s">
        <v>2</v>
      </c>
      <c r="I442" s="13" t="s">
        <v>437</v>
      </c>
      <c r="J442" s="13" t="s">
        <v>67</v>
      </c>
      <c r="K442" s="17">
        <v>1258.3</v>
      </c>
      <c r="L442" s="17">
        <v>334.3</v>
      </c>
      <c r="M442" s="17">
        <f t="shared" si="57"/>
        <v>26.567591194468733</v>
      </c>
    </row>
    <row r="443" spans="1:13" s="12" customFormat="1" ht="31.5" x14ac:dyDescent="0.2">
      <c r="A443" s="91">
        <v>6</v>
      </c>
      <c r="B443" s="33" t="s">
        <v>53</v>
      </c>
      <c r="C443" s="42">
        <v>920</v>
      </c>
      <c r="D443" s="26"/>
      <c r="E443" s="26"/>
      <c r="F443" s="26"/>
      <c r="G443" s="42"/>
      <c r="H443" s="26"/>
      <c r="I443" s="26"/>
      <c r="J443" s="26"/>
      <c r="K443" s="17">
        <f>SUM(K444+K523+K530)</f>
        <v>79628.2</v>
      </c>
      <c r="L443" s="17">
        <f>SUM(L444+L523+L530)</f>
        <v>50857.000000000007</v>
      </c>
      <c r="M443" s="17">
        <f t="shared" si="57"/>
        <v>63.868076887333892</v>
      </c>
    </row>
    <row r="444" spans="1:13" s="12" customFormat="1" ht="31.5" x14ac:dyDescent="0.2">
      <c r="A444" s="89"/>
      <c r="B444" s="33" t="s">
        <v>14</v>
      </c>
      <c r="C444" s="42">
        <v>920</v>
      </c>
      <c r="D444" s="26" t="s">
        <v>5</v>
      </c>
      <c r="E444" s="26"/>
      <c r="F444" s="26"/>
      <c r="G444" s="42"/>
      <c r="H444" s="26"/>
      <c r="I444" s="26"/>
      <c r="J444" s="26"/>
      <c r="K444" s="17">
        <f>SUM(K445+K517)</f>
        <v>79607.199999999997</v>
      </c>
      <c r="L444" s="17">
        <f>SUM(L445+L517)</f>
        <v>50849.000000000007</v>
      </c>
      <c r="M444" s="17">
        <f t="shared" si="57"/>
        <v>63.874875639389415</v>
      </c>
    </row>
    <row r="445" spans="1:13" s="12" customFormat="1" ht="48.6" customHeight="1" x14ac:dyDescent="0.2">
      <c r="A445" s="89"/>
      <c r="B445" s="33" t="s">
        <v>412</v>
      </c>
      <c r="C445" s="42">
        <v>920</v>
      </c>
      <c r="D445" s="26" t="s">
        <v>5</v>
      </c>
      <c r="E445" s="13" t="s">
        <v>21</v>
      </c>
      <c r="F445" s="26"/>
      <c r="G445" s="42"/>
      <c r="H445" s="26"/>
      <c r="I445" s="26"/>
      <c r="J445" s="26"/>
      <c r="K445" s="17">
        <f>SUM(K446+K451+K513)</f>
        <v>79607.199999999997</v>
      </c>
      <c r="L445" s="17">
        <f>SUM(L446+L451+L513)</f>
        <v>50849.000000000007</v>
      </c>
      <c r="M445" s="17">
        <f t="shared" si="57"/>
        <v>63.874875639389415</v>
      </c>
    </row>
    <row r="446" spans="1:13" s="12" customFormat="1" ht="31.5" x14ac:dyDescent="0.2">
      <c r="A446" s="89"/>
      <c r="B446" s="50" t="s">
        <v>352</v>
      </c>
      <c r="C446" s="42">
        <v>920</v>
      </c>
      <c r="D446" s="26" t="s">
        <v>5</v>
      </c>
      <c r="E446" s="13" t="s">
        <v>21</v>
      </c>
      <c r="F446" s="13" t="s">
        <v>4</v>
      </c>
      <c r="G446" s="13"/>
      <c r="H446" s="13"/>
      <c r="I446" s="13"/>
      <c r="J446" s="13"/>
      <c r="K446" s="17">
        <f t="shared" ref="K446:L449" si="62">K447</f>
        <v>2023.9</v>
      </c>
      <c r="L446" s="17">
        <f t="shared" si="62"/>
        <v>2023.9</v>
      </c>
      <c r="M446" s="17">
        <f t="shared" si="57"/>
        <v>100</v>
      </c>
    </row>
    <row r="447" spans="1:13" s="12" customFormat="1" ht="31.5" x14ac:dyDescent="0.2">
      <c r="A447" s="89"/>
      <c r="B447" s="50" t="s">
        <v>146</v>
      </c>
      <c r="C447" s="42">
        <v>920</v>
      </c>
      <c r="D447" s="26" t="s">
        <v>5</v>
      </c>
      <c r="E447" s="13" t="s">
        <v>21</v>
      </c>
      <c r="F447" s="13" t="s">
        <v>4</v>
      </c>
      <c r="G447" s="13" t="s">
        <v>126</v>
      </c>
      <c r="H447" s="13"/>
      <c r="I447" s="13"/>
      <c r="J447" s="13"/>
      <c r="K447" s="17">
        <f t="shared" si="62"/>
        <v>2023.9</v>
      </c>
      <c r="L447" s="17">
        <f t="shared" si="62"/>
        <v>2023.9</v>
      </c>
      <c r="M447" s="17">
        <f t="shared" si="57"/>
        <v>100</v>
      </c>
    </row>
    <row r="448" spans="1:13" s="12" customFormat="1" ht="66" customHeight="1" x14ac:dyDescent="0.2">
      <c r="A448" s="89"/>
      <c r="B448" s="50" t="s">
        <v>147</v>
      </c>
      <c r="C448" s="42">
        <v>920</v>
      </c>
      <c r="D448" s="26" t="s">
        <v>5</v>
      </c>
      <c r="E448" s="13" t="s">
        <v>21</v>
      </c>
      <c r="F448" s="13" t="s">
        <v>4</v>
      </c>
      <c r="G448" s="13" t="s">
        <v>126</v>
      </c>
      <c r="H448" s="13" t="s">
        <v>2</v>
      </c>
      <c r="I448" s="13"/>
      <c r="J448" s="13"/>
      <c r="K448" s="17">
        <f t="shared" si="62"/>
        <v>2023.9</v>
      </c>
      <c r="L448" s="17">
        <f t="shared" si="62"/>
        <v>2023.9</v>
      </c>
      <c r="M448" s="17">
        <f t="shared" si="57"/>
        <v>100</v>
      </c>
    </row>
    <row r="449" spans="1:13" s="12" customFormat="1" ht="46.15" customHeight="1" x14ac:dyDescent="0.2">
      <c r="A449" s="89"/>
      <c r="B449" s="50" t="s">
        <v>400</v>
      </c>
      <c r="C449" s="42">
        <v>920</v>
      </c>
      <c r="D449" s="26" t="s">
        <v>5</v>
      </c>
      <c r="E449" s="13" t="s">
        <v>21</v>
      </c>
      <c r="F449" s="13" t="s">
        <v>4</v>
      </c>
      <c r="G449" s="13" t="s">
        <v>126</v>
      </c>
      <c r="H449" s="13" t="s">
        <v>2</v>
      </c>
      <c r="I449" s="13" t="s">
        <v>351</v>
      </c>
      <c r="J449" s="13"/>
      <c r="K449" s="17">
        <f t="shared" si="62"/>
        <v>2023.9</v>
      </c>
      <c r="L449" s="17">
        <f t="shared" si="62"/>
        <v>2023.9</v>
      </c>
      <c r="M449" s="17">
        <f t="shared" si="57"/>
        <v>100</v>
      </c>
    </row>
    <row r="450" spans="1:13" s="12" customFormat="1" ht="31.5" x14ac:dyDescent="0.2">
      <c r="A450" s="89"/>
      <c r="B450" s="33" t="s">
        <v>175</v>
      </c>
      <c r="C450" s="42">
        <v>920</v>
      </c>
      <c r="D450" s="26" t="s">
        <v>5</v>
      </c>
      <c r="E450" s="13" t="s">
        <v>21</v>
      </c>
      <c r="F450" s="13" t="s">
        <v>4</v>
      </c>
      <c r="G450" s="13" t="s">
        <v>126</v>
      </c>
      <c r="H450" s="13" t="s">
        <v>2</v>
      </c>
      <c r="I450" s="13" t="s">
        <v>351</v>
      </c>
      <c r="J450" s="13" t="s">
        <v>58</v>
      </c>
      <c r="K450" s="17">
        <v>2023.9</v>
      </c>
      <c r="L450" s="17">
        <v>2023.9</v>
      </c>
      <c r="M450" s="17">
        <f t="shared" si="57"/>
        <v>100</v>
      </c>
    </row>
    <row r="451" spans="1:13" s="12" customFormat="1" ht="47.45" customHeight="1" x14ac:dyDescent="0.2">
      <c r="A451" s="89"/>
      <c r="B451" s="50" t="s">
        <v>216</v>
      </c>
      <c r="C451" s="42">
        <v>920</v>
      </c>
      <c r="D451" s="26" t="s">
        <v>5</v>
      </c>
      <c r="E451" s="13" t="s">
        <v>21</v>
      </c>
      <c r="F451" s="26" t="s">
        <v>41</v>
      </c>
      <c r="G451" s="42"/>
      <c r="H451" s="26"/>
      <c r="I451" s="26"/>
      <c r="J451" s="26"/>
      <c r="K451" s="17">
        <f>SUM(K452+K486+K496)</f>
        <v>77557.5</v>
      </c>
      <c r="L451" s="17">
        <f>SUM(L452+L486+L496)</f>
        <v>48799.3</v>
      </c>
      <c r="M451" s="17">
        <f t="shared" si="57"/>
        <v>62.920156013280469</v>
      </c>
    </row>
    <row r="452" spans="1:13" s="12" customFormat="1" ht="46.9" customHeight="1" x14ac:dyDescent="0.2">
      <c r="A452" s="89"/>
      <c r="B452" s="50" t="s">
        <v>276</v>
      </c>
      <c r="C452" s="42">
        <v>920</v>
      </c>
      <c r="D452" s="26" t="s">
        <v>5</v>
      </c>
      <c r="E452" s="13" t="s">
        <v>21</v>
      </c>
      <c r="F452" s="26" t="s">
        <v>41</v>
      </c>
      <c r="G452" s="42">
        <v>1</v>
      </c>
      <c r="H452" s="26"/>
      <c r="I452" s="26"/>
      <c r="J452" s="26"/>
      <c r="K452" s="17">
        <f>SUM(K453+K473)</f>
        <v>48508.700000000004</v>
      </c>
      <c r="L452" s="17">
        <f>SUM(L453+L473)</f>
        <v>30622.300000000003</v>
      </c>
      <c r="M452" s="17">
        <f t="shared" si="57"/>
        <v>63.12743899547916</v>
      </c>
    </row>
    <row r="453" spans="1:13" s="12" customFormat="1" ht="33" customHeight="1" x14ac:dyDescent="0.2">
      <c r="A453" s="89"/>
      <c r="B453" s="50" t="s">
        <v>178</v>
      </c>
      <c r="C453" s="42">
        <v>920</v>
      </c>
      <c r="D453" s="26" t="s">
        <v>5</v>
      </c>
      <c r="E453" s="13" t="s">
        <v>21</v>
      </c>
      <c r="F453" s="26" t="s">
        <v>41</v>
      </c>
      <c r="G453" s="42">
        <v>1</v>
      </c>
      <c r="H453" s="26" t="s">
        <v>2</v>
      </c>
      <c r="I453" s="26"/>
      <c r="J453" s="26"/>
      <c r="K453" s="17">
        <f>SUM(K454+K468+K458+K462+K466+K471)</f>
        <v>44697.100000000006</v>
      </c>
      <c r="L453" s="17">
        <f>SUM(L454+L468+L458+L462+L466+L471)</f>
        <v>28321.200000000004</v>
      </c>
      <c r="M453" s="17">
        <f t="shared" si="57"/>
        <v>63.362500027966021</v>
      </c>
    </row>
    <row r="454" spans="1:13" s="12" customFormat="1" ht="64.150000000000006" customHeight="1" x14ac:dyDescent="0.2">
      <c r="A454" s="89"/>
      <c r="B454" s="50" t="s">
        <v>88</v>
      </c>
      <c r="C454" s="42">
        <v>920</v>
      </c>
      <c r="D454" s="26" t="s">
        <v>5</v>
      </c>
      <c r="E454" s="13" t="s">
        <v>21</v>
      </c>
      <c r="F454" s="26" t="s">
        <v>41</v>
      </c>
      <c r="G454" s="42">
        <v>1</v>
      </c>
      <c r="H454" s="26" t="s">
        <v>2</v>
      </c>
      <c r="I454" s="26" t="s">
        <v>116</v>
      </c>
      <c r="J454" s="26"/>
      <c r="K454" s="17">
        <f t="shared" ref="K454:L454" si="63">SUM(K455:K457)</f>
        <v>9379.8000000000011</v>
      </c>
      <c r="L454" s="17">
        <f t="shared" si="63"/>
        <v>5054.1000000000004</v>
      </c>
      <c r="M454" s="17">
        <f t="shared" si="57"/>
        <v>53.882812000255868</v>
      </c>
    </row>
    <row r="455" spans="1:13" s="12" customFormat="1" ht="45.6" customHeight="1" x14ac:dyDescent="0.2">
      <c r="A455" s="89"/>
      <c r="B455" s="33" t="s">
        <v>55</v>
      </c>
      <c r="C455" s="42">
        <v>920</v>
      </c>
      <c r="D455" s="26" t="s">
        <v>5</v>
      </c>
      <c r="E455" s="13" t="s">
        <v>21</v>
      </c>
      <c r="F455" s="26" t="s">
        <v>41</v>
      </c>
      <c r="G455" s="42">
        <v>1</v>
      </c>
      <c r="H455" s="26" t="s">
        <v>2</v>
      </c>
      <c r="I455" s="26" t="s">
        <v>116</v>
      </c>
      <c r="J455" s="26" t="s">
        <v>56</v>
      </c>
      <c r="K455" s="17">
        <f>7354.3+73.5+0.1</f>
        <v>7427.9000000000005</v>
      </c>
      <c r="L455" s="17">
        <v>4306.1000000000004</v>
      </c>
      <c r="M455" s="17">
        <f t="shared" si="57"/>
        <v>57.971970543491437</v>
      </c>
    </row>
    <row r="456" spans="1:13" s="12" customFormat="1" ht="31.5" x14ac:dyDescent="0.2">
      <c r="A456" s="89"/>
      <c r="B456" s="33" t="s">
        <v>175</v>
      </c>
      <c r="C456" s="42">
        <v>920</v>
      </c>
      <c r="D456" s="26" t="s">
        <v>5</v>
      </c>
      <c r="E456" s="13" t="s">
        <v>21</v>
      </c>
      <c r="F456" s="26" t="s">
        <v>41</v>
      </c>
      <c r="G456" s="42">
        <v>1</v>
      </c>
      <c r="H456" s="26" t="s">
        <v>2</v>
      </c>
      <c r="I456" s="26" t="s">
        <v>116</v>
      </c>
      <c r="J456" s="26" t="s">
        <v>58</v>
      </c>
      <c r="K456" s="17">
        <v>1888.8</v>
      </c>
      <c r="L456" s="17">
        <v>708.3</v>
      </c>
      <c r="M456" s="17">
        <f t="shared" si="57"/>
        <v>37.5</v>
      </c>
    </row>
    <row r="457" spans="1:13" s="12" customFormat="1" x14ac:dyDescent="0.2">
      <c r="A457" s="89"/>
      <c r="B457" s="33" t="s">
        <v>60</v>
      </c>
      <c r="C457" s="42">
        <v>920</v>
      </c>
      <c r="D457" s="26" t="s">
        <v>5</v>
      </c>
      <c r="E457" s="13" t="s">
        <v>21</v>
      </c>
      <c r="F457" s="26" t="s">
        <v>41</v>
      </c>
      <c r="G457" s="42">
        <v>1</v>
      </c>
      <c r="H457" s="26" t="s">
        <v>2</v>
      </c>
      <c r="I457" s="26" t="s">
        <v>116</v>
      </c>
      <c r="J457" s="26" t="s">
        <v>61</v>
      </c>
      <c r="K457" s="17">
        <v>63.1</v>
      </c>
      <c r="L457" s="17">
        <v>39.700000000000003</v>
      </c>
      <c r="M457" s="17">
        <f t="shared" si="57"/>
        <v>62.916006339144218</v>
      </c>
    </row>
    <row r="458" spans="1:13" s="12" customFormat="1" ht="82.15" customHeight="1" x14ac:dyDescent="0.2">
      <c r="A458" s="89"/>
      <c r="B458" s="33" t="s">
        <v>245</v>
      </c>
      <c r="C458" s="42">
        <v>920</v>
      </c>
      <c r="D458" s="26" t="s">
        <v>5</v>
      </c>
      <c r="E458" s="13" t="s">
        <v>21</v>
      </c>
      <c r="F458" s="26" t="s">
        <v>41</v>
      </c>
      <c r="G458" s="42">
        <v>1</v>
      </c>
      <c r="H458" s="26" t="s">
        <v>2</v>
      </c>
      <c r="I458" s="26" t="s">
        <v>244</v>
      </c>
      <c r="J458" s="26"/>
      <c r="K458" s="17">
        <f>SUM(K459:K461)</f>
        <v>18388.700000000004</v>
      </c>
      <c r="L458" s="17">
        <f>SUM(L459:L461)</f>
        <v>11785.300000000001</v>
      </c>
      <c r="M458" s="17">
        <f t="shared" si="57"/>
        <v>64.089903038278933</v>
      </c>
    </row>
    <row r="459" spans="1:13" s="12" customFormat="1" ht="45.6" customHeight="1" x14ac:dyDescent="0.2">
      <c r="A459" s="89"/>
      <c r="B459" s="33" t="s">
        <v>55</v>
      </c>
      <c r="C459" s="42">
        <v>920</v>
      </c>
      <c r="D459" s="26" t="s">
        <v>5</v>
      </c>
      <c r="E459" s="13" t="s">
        <v>21</v>
      </c>
      <c r="F459" s="26" t="s">
        <v>41</v>
      </c>
      <c r="G459" s="42">
        <v>1</v>
      </c>
      <c r="H459" s="26" t="s">
        <v>2</v>
      </c>
      <c r="I459" s="26" t="s">
        <v>244</v>
      </c>
      <c r="J459" s="26" t="s">
        <v>56</v>
      </c>
      <c r="K459" s="17">
        <f>15423.5+154.2+0.1</f>
        <v>15577.800000000001</v>
      </c>
      <c r="L459" s="17">
        <v>9950.4</v>
      </c>
      <c r="M459" s="17">
        <f t="shared" si="57"/>
        <v>63.875515156183795</v>
      </c>
    </row>
    <row r="460" spans="1:13" s="12" customFormat="1" ht="31.5" x14ac:dyDescent="0.2">
      <c r="A460" s="89"/>
      <c r="B460" s="33" t="s">
        <v>175</v>
      </c>
      <c r="C460" s="42">
        <v>920</v>
      </c>
      <c r="D460" s="26" t="s">
        <v>5</v>
      </c>
      <c r="E460" s="13" t="s">
        <v>21</v>
      </c>
      <c r="F460" s="26" t="s">
        <v>41</v>
      </c>
      <c r="G460" s="42">
        <v>1</v>
      </c>
      <c r="H460" s="26" t="s">
        <v>2</v>
      </c>
      <c r="I460" s="26" t="s">
        <v>244</v>
      </c>
      <c r="J460" s="26" t="s">
        <v>58</v>
      </c>
      <c r="K460" s="17">
        <v>2678.5</v>
      </c>
      <c r="L460" s="17">
        <v>1795.2</v>
      </c>
      <c r="M460" s="17">
        <f t="shared" si="57"/>
        <v>67.022587268993846</v>
      </c>
    </row>
    <row r="461" spans="1:13" s="12" customFormat="1" x14ac:dyDescent="0.2">
      <c r="A461" s="89"/>
      <c r="B461" s="33" t="s">
        <v>60</v>
      </c>
      <c r="C461" s="42">
        <v>920</v>
      </c>
      <c r="D461" s="26" t="s">
        <v>5</v>
      </c>
      <c r="E461" s="13" t="s">
        <v>21</v>
      </c>
      <c r="F461" s="26" t="s">
        <v>41</v>
      </c>
      <c r="G461" s="42">
        <v>1</v>
      </c>
      <c r="H461" s="26" t="s">
        <v>2</v>
      </c>
      <c r="I461" s="26" t="s">
        <v>244</v>
      </c>
      <c r="J461" s="26" t="s">
        <v>61</v>
      </c>
      <c r="K461" s="17">
        <v>132.4</v>
      </c>
      <c r="L461" s="17">
        <v>39.700000000000003</v>
      </c>
      <c r="M461" s="17">
        <f t="shared" si="57"/>
        <v>29.984894259818734</v>
      </c>
    </row>
    <row r="462" spans="1:13" s="12" customFormat="1" ht="69.599999999999994" customHeight="1" x14ac:dyDescent="0.2">
      <c r="A462" s="89"/>
      <c r="B462" s="33" t="s">
        <v>246</v>
      </c>
      <c r="C462" s="42">
        <v>920</v>
      </c>
      <c r="D462" s="26" t="s">
        <v>5</v>
      </c>
      <c r="E462" s="13" t="s">
        <v>21</v>
      </c>
      <c r="F462" s="26" t="s">
        <v>41</v>
      </c>
      <c r="G462" s="42">
        <v>1</v>
      </c>
      <c r="H462" s="26" t="s">
        <v>2</v>
      </c>
      <c r="I462" s="26" t="s">
        <v>247</v>
      </c>
      <c r="J462" s="26"/>
      <c r="K462" s="17">
        <f>K463+K464+K465</f>
        <v>7169.9999999999991</v>
      </c>
      <c r="L462" s="17">
        <f>L463+L464+L465</f>
        <v>3899.5</v>
      </c>
      <c r="M462" s="17">
        <f t="shared" si="57"/>
        <v>54.386331938633205</v>
      </c>
    </row>
    <row r="463" spans="1:13" s="12" customFormat="1" ht="48.6" customHeight="1" x14ac:dyDescent="0.2">
      <c r="A463" s="89"/>
      <c r="B463" s="33" t="s">
        <v>55</v>
      </c>
      <c r="C463" s="42">
        <v>920</v>
      </c>
      <c r="D463" s="26" t="s">
        <v>5</v>
      </c>
      <c r="E463" s="13" t="s">
        <v>21</v>
      </c>
      <c r="F463" s="26" t="s">
        <v>41</v>
      </c>
      <c r="G463" s="42">
        <v>1</v>
      </c>
      <c r="H463" s="26" t="s">
        <v>2</v>
      </c>
      <c r="I463" s="26" t="s">
        <v>247</v>
      </c>
      <c r="J463" s="26" t="s">
        <v>56</v>
      </c>
      <c r="K463" s="17">
        <f>5510.9+54.8</f>
        <v>5565.7</v>
      </c>
      <c r="L463" s="17">
        <v>3071.4</v>
      </c>
      <c r="M463" s="17">
        <f t="shared" si="57"/>
        <v>55.184433224931283</v>
      </c>
    </row>
    <row r="464" spans="1:13" s="12" customFormat="1" ht="31.5" x14ac:dyDescent="0.2">
      <c r="A464" s="89"/>
      <c r="B464" s="33" t="s">
        <v>175</v>
      </c>
      <c r="C464" s="42">
        <v>920</v>
      </c>
      <c r="D464" s="26" t="s">
        <v>5</v>
      </c>
      <c r="E464" s="13" t="s">
        <v>21</v>
      </c>
      <c r="F464" s="26" t="s">
        <v>41</v>
      </c>
      <c r="G464" s="42">
        <v>1</v>
      </c>
      <c r="H464" s="26" t="s">
        <v>2</v>
      </c>
      <c r="I464" s="26" t="s">
        <v>247</v>
      </c>
      <c r="J464" s="26" t="s">
        <v>58</v>
      </c>
      <c r="K464" s="17">
        <v>1470.1</v>
      </c>
      <c r="L464" s="17">
        <v>746.6</v>
      </c>
      <c r="M464" s="17">
        <f t="shared" si="57"/>
        <v>50.78566083939868</v>
      </c>
    </row>
    <row r="465" spans="1:13" s="12" customFormat="1" x14ac:dyDescent="0.2">
      <c r="A465" s="89"/>
      <c r="B465" s="33" t="s">
        <v>60</v>
      </c>
      <c r="C465" s="42">
        <v>920</v>
      </c>
      <c r="D465" s="26" t="s">
        <v>5</v>
      </c>
      <c r="E465" s="13" t="s">
        <v>21</v>
      </c>
      <c r="F465" s="26" t="s">
        <v>41</v>
      </c>
      <c r="G465" s="42">
        <v>1</v>
      </c>
      <c r="H465" s="26" t="s">
        <v>2</v>
      </c>
      <c r="I465" s="26" t="s">
        <v>247</v>
      </c>
      <c r="J465" s="26" t="s">
        <v>61</v>
      </c>
      <c r="K465" s="17">
        <v>134.19999999999999</v>
      </c>
      <c r="L465" s="17">
        <v>81.5</v>
      </c>
      <c r="M465" s="17">
        <f t="shared" si="57"/>
        <v>60.730253353204176</v>
      </c>
    </row>
    <row r="466" spans="1:13" s="12" customFormat="1" ht="66" customHeight="1" x14ac:dyDescent="0.2">
      <c r="A466" s="89"/>
      <c r="B466" s="33" t="s">
        <v>496</v>
      </c>
      <c r="C466" s="42">
        <v>920</v>
      </c>
      <c r="D466" s="26" t="s">
        <v>5</v>
      </c>
      <c r="E466" s="13" t="s">
        <v>21</v>
      </c>
      <c r="F466" s="26" t="s">
        <v>41</v>
      </c>
      <c r="G466" s="42">
        <v>1</v>
      </c>
      <c r="H466" s="26" t="s">
        <v>2</v>
      </c>
      <c r="I466" s="26" t="s">
        <v>251</v>
      </c>
      <c r="J466" s="26"/>
      <c r="K466" s="17">
        <f>SUM(K467)</f>
        <v>1308.5</v>
      </c>
      <c r="L466" s="17">
        <f>SUM(L467)</f>
        <v>0</v>
      </c>
      <c r="M466" s="17">
        <f t="shared" si="57"/>
        <v>0</v>
      </c>
    </row>
    <row r="467" spans="1:13" s="12" customFormat="1" ht="31.5" x14ac:dyDescent="0.2">
      <c r="A467" s="89"/>
      <c r="B467" s="33" t="s">
        <v>175</v>
      </c>
      <c r="C467" s="42">
        <v>920</v>
      </c>
      <c r="D467" s="26" t="s">
        <v>5</v>
      </c>
      <c r="E467" s="13" t="s">
        <v>21</v>
      </c>
      <c r="F467" s="26" t="s">
        <v>41</v>
      </c>
      <c r="G467" s="42">
        <v>1</v>
      </c>
      <c r="H467" s="26" t="s">
        <v>2</v>
      </c>
      <c r="I467" s="26" t="s">
        <v>251</v>
      </c>
      <c r="J467" s="26" t="s">
        <v>58</v>
      </c>
      <c r="K467" s="17">
        <f>501.3+807.2</f>
        <v>1308.5</v>
      </c>
      <c r="L467" s="17">
        <v>0</v>
      </c>
      <c r="M467" s="17">
        <f t="shared" si="57"/>
        <v>0</v>
      </c>
    </row>
    <row r="468" spans="1:13" s="12" customFormat="1" ht="80.45" customHeight="1" x14ac:dyDescent="0.2">
      <c r="A468" s="89"/>
      <c r="B468" s="58" t="s">
        <v>389</v>
      </c>
      <c r="C468" s="42">
        <v>920</v>
      </c>
      <c r="D468" s="26" t="s">
        <v>5</v>
      </c>
      <c r="E468" s="13" t="s">
        <v>21</v>
      </c>
      <c r="F468" s="13" t="s">
        <v>41</v>
      </c>
      <c r="G468" s="13" t="s">
        <v>126</v>
      </c>
      <c r="H468" s="13" t="s">
        <v>2</v>
      </c>
      <c r="I468" s="13" t="s">
        <v>201</v>
      </c>
      <c r="J468" s="26"/>
      <c r="K468" s="17">
        <f>SUM(K469:K470)</f>
        <v>8450.1</v>
      </c>
      <c r="L468" s="17">
        <f>SUM(L469:L470)</f>
        <v>7582.3</v>
      </c>
      <c r="M468" s="17">
        <f t="shared" ref="M468:M531" si="64">L468/K468*100</f>
        <v>89.730299049715384</v>
      </c>
    </row>
    <row r="469" spans="1:13" s="12" customFormat="1" ht="31.5" x14ac:dyDescent="0.2">
      <c r="A469" s="89"/>
      <c r="B469" s="33" t="s">
        <v>175</v>
      </c>
      <c r="C469" s="42">
        <v>920</v>
      </c>
      <c r="D469" s="26" t="s">
        <v>5</v>
      </c>
      <c r="E469" s="13" t="s">
        <v>21</v>
      </c>
      <c r="F469" s="13" t="s">
        <v>41</v>
      </c>
      <c r="G469" s="13" t="s">
        <v>126</v>
      </c>
      <c r="H469" s="13" t="s">
        <v>2</v>
      </c>
      <c r="I469" s="13" t="s">
        <v>201</v>
      </c>
      <c r="J469" s="26" t="s">
        <v>58</v>
      </c>
      <c r="K469" s="17">
        <v>2819.5</v>
      </c>
      <c r="L469" s="17">
        <v>2617.6999999999998</v>
      </c>
      <c r="M469" s="17">
        <f t="shared" si="64"/>
        <v>92.84270260684518</v>
      </c>
    </row>
    <row r="470" spans="1:13" s="12" customFormat="1" ht="18.75" customHeight="1" x14ac:dyDescent="0.2">
      <c r="A470" s="89"/>
      <c r="B470" s="33" t="s">
        <v>22</v>
      </c>
      <c r="C470" s="42">
        <v>920</v>
      </c>
      <c r="D470" s="26" t="s">
        <v>5</v>
      </c>
      <c r="E470" s="13" t="s">
        <v>21</v>
      </c>
      <c r="F470" s="13" t="s">
        <v>41</v>
      </c>
      <c r="G470" s="13" t="s">
        <v>126</v>
      </c>
      <c r="H470" s="13" t="s">
        <v>2</v>
      </c>
      <c r="I470" s="13" t="s">
        <v>201</v>
      </c>
      <c r="J470" s="26" t="s">
        <v>73</v>
      </c>
      <c r="K470" s="17">
        <f>4999.6+616+15</f>
        <v>5630.6</v>
      </c>
      <c r="L470" s="17">
        <v>4964.6000000000004</v>
      </c>
      <c r="M470" s="17">
        <f t="shared" si="64"/>
        <v>88.171775654459566</v>
      </c>
    </row>
    <row r="471" spans="1:13" s="12" customFormat="1" x14ac:dyDescent="0.2">
      <c r="A471" s="89"/>
      <c r="B471" s="33" t="s">
        <v>405</v>
      </c>
      <c r="C471" s="42">
        <v>920</v>
      </c>
      <c r="D471" s="26" t="s">
        <v>5</v>
      </c>
      <c r="E471" s="13" t="s">
        <v>21</v>
      </c>
      <c r="F471" s="13" t="s">
        <v>41</v>
      </c>
      <c r="G471" s="13" t="s">
        <v>126</v>
      </c>
      <c r="H471" s="13" t="s">
        <v>2</v>
      </c>
      <c r="I471" s="13" t="s">
        <v>404</v>
      </c>
      <c r="J471" s="26"/>
      <c r="K471" s="17">
        <f>SUM(K472)</f>
        <v>0</v>
      </c>
      <c r="L471" s="17">
        <f>SUM(L472)</f>
        <v>0</v>
      </c>
      <c r="M471" s="17"/>
    </row>
    <row r="472" spans="1:13" s="12" customFormat="1" ht="48" customHeight="1" x14ac:dyDescent="0.2">
      <c r="A472" s="89"/>
      <c r="B472" s="33" t="s">
        <v>55</v>
      </c>
      <c r="C472" s="42">
        <v>920</v>
      </c>
      <c r="D472" s="26" t="s">
        <v>5</v>
      </c>
      <c r="E472" s="13" t="s">
        <v>21</v>
      </c>
      <c r="F472" s="13" t="s">
        <v>41</v>
      </c>
      <c r="G472" s="13" t="s">
        <v>126</v>
      </c>
      <c r="H472" s="13" t="s">
        <v>2</v>
      </c>
      <c r="I472" s="13" t="s">
        <v>404</v>
      </c>
      <c r="J472" s="26" t="s">
        <v>56</v>
      </c>
      <c r="K472" s="17">
        <v>0</v>
      </c>
      <c r="L472" s="17">
        <v>0</v>
      </c>
      <c r="M472" s="17"/>
    </row>
    <row r="473" spans="1:13" s="12" customFormat="1" ht="48.6" customHeight="1" x14ac:dyDescent="0.2">
      <c r="A473" s="89"/>
      <c r="B473" s="33" t="s">
        <v>148</v>
      </c>
      <c r="C473" s="42">
        <v>920</v>
      </c>
      <c r="D473" s="26" t="s">
        <v>5</v>
      </c>
      <c r="E473" s="13" t="s">
        <v>21</v>
      </c>
      <c r="F473" s="26" t="s">
        <v>41</v>
      </c>
      <c r="G473" s="42">
        <v>1</v>
      </c>
      <c r="H473" s="26" t="s">
        <v>4</v>
      </c>
      <c r="I473" s="26"/>
      <c r="J473" s="26"/>
      <c r="K473" s="17">
        <f>SUM(K474+K484+K478+K480+K482)</f>
        <v>3811.5999999999995</v>
      </c>
      <c r="L473" s="17">
        <f>SUM(L474+L484+L478+L480+L482)</f>
        <v>2301.1</v>
      </c>
      <c r="M473" s="17">
        <f t="shared" si="64"/>
        <v>60.370972819813204</v>
      </c>
    </row>
    <row r="474" spans="1:13" s="12" customFormat="1" ht="31.5" x14ac:dyDescent="0.2">
      <c r="A474" s="89"/>
      <c r="B474" s="33" t="s">
        <v>54</v>
      </c>
      <c r="C474" s="42">
        <v>920</v>
      </c>
      <c r="D474" s="26" t="s">
        <v>5</v>
      </c>
      <c r="E474" s="13" t="s">
        <v>21</v>
      </c>
      <c r="F474" s="26" t="s">
        <v>41</v>
      </c>
      <c r="G474" s="42">
        <v>1</v>
      </c>
      <c r="H474" s="26" t="s">
        <v>4</v>
      </c>
      <c r="I474" s="26" t="s">
        <v>104</v>
      </c>
      <c r="J474" s="26"/>
      <c r="K474" s="17">
        <f>SUM(K475:K477)</f>
        <v>3520</v>
      </c>
      <c r="L474" s="17">
        <f>SUM(L475:L477)</f>
        <v>2126.9</v>
      </c>
      <c r="M474" s="17">
        <f t="shared" si="64"/>
        <v>60.423295454545453</v>
      </c>
    </row>
    <row r="475" spans="1:13" s="12" customFormat="1" ht="49.15" customHeight="1" x14ac:dyDescent="0.2">
      <c r="A475" s="89"/>
      <c r="B475" s="33" t="s">
        <v>55</v>
      </c>
      <c r="C475" s="42">
        <v>920</v>
      </c>
      <c r="D475" s="26" t="s">
        <v>5</v>
      </c>
      <c r="E475" s="13" t="s">
        <v>21</v>
      </c>
      <c r="F475" s="26" t="s">
        <v>41</v>
      </c>
      <c r="G475" s="42">
        <v>1</v>
      </c>
      <c r="H475" s="26" t="s">
        <v>4</v>
      </c>
      <c r="I475" s="26" t="s">
        <v>104</v>
      </c>
      <c r="J475" s="26" t="s">
        <v>56</v>
      </c>
      <c r="K475" s="17">
        <v>3350.4</v>
      </c>
      <c r="L475" s="17">
        <v>2021.9</v>
      </c>
      <c r="M475" s="17">
        <f t="shared" si="64"/>
        <v>60.348018147086911</v>
      </c>
    </row>
    <row r="476" spans="1:13" s="12" customFormat="1" ht="31.5" x14ac:dyDescent="0.2">
      <c r="A476" s="89"/>
      <c r="B476" s="33" t="s">
        <v>175</v>
      </c>
      <c r="C476" s="42">
        <v>920</v>
      </c>
      <c r="D476" s="26" t="s">
        <v>5</v>
      </c>
      <c r="E476" s="13" t="s">
        <v>21</v>
      </c>
      <c r="F476" s="26" t="s">
        <v>41</v>
      </c>
      <c r="G476" s="42">
        <v>1</v>
      </c>
      <c r="H476" s="26" t="s">
        <v>4</v>
      </c>
      <c r="I476" s="26" t="s">
        <v>104</v>
      </c>
      <c r="J476" s="26" t="s">
        <v>58</v>
      </c>
      <c r="K476" s="17">
        <v>167.6</v>
      </c>
      <c r="L476" s="17">
        <v>105</v>
      </c>
      <c r="M476" s="17">
        <f t="shared" si="64"/>
        <v>62.649164677804301</v>
      </c>
    </row>
    <row r="477" spans="1:13" s="12" customFormat="1" x14ac:dyDescent="0.2">
      <c r="A477" s="89"/>
      <c r="B477" s="33" t="s">
        <v>60</v>
      </c>
      <c r="C477" s="42">
        <v>920</v>
      </c>
      <c r="D477" s="26" t="s">
        <v>5</v>
      </c>
      <c r="E477" s="13" t="s">
        <v>21</v>
      </c>
      <c r="F477" s="26" t="s">
        <v>41</v>
      </c>
      <c r="G477" s="42">
        <v>1</v>
      </c>
      <c r="H477" s="26" t="s">
        <v>4</v>
      </c>
      <c r="I477" s="26" t="s">
        <v>104</v>
      </c>
      <c r="J477" s="26" t="s">
        <v>61</v>
      </c>
      <c r="K477" s="17">
        <v>2</v>
      </c>
      <c r="L477" s="17">
        <v>0</v>
      </c>
      <c r="M477" s="17">
        <f t="shared" si="64"/>
        <v>0</v>
      </c>
    </row>
    <row r="478" spans="1:13" s="12" customFormat="1" ht="31.5" x14ac:dyDescent="0.2">
      <c r="A478" s="89"/>
      <c r="B478" s="33" t="s">
        <v>456</v>
      </c>
      <c r="C478" s="42">
        <v>920</v>
      </c>
      <c r="D478" s="13" t="s">
        <v>5</v>
      </c>
      <c r="E478" s="13" t="s">
        <v>21</v>
      </c>
      <c r="F478" s="13" t="s">
        <v>41</v>
      </c>
      <c r="G478" s="25">
        <v>1</v>
      </c>
      <c r="H478" s="13" t="s">
        <v>4</v>
      </c>
      <c r="I478" s="13" t="s">
        <v>455</v>
      </c>
      <c r="J478" s="13"/>
      <c r="K478" s="17">
        <f>K479</f>
        <v>10.199999999999999</v>
      </c>
      <c r="L478" s="17">
        <f>L479</f>
        <v>0</v>
      </c>
      <c r="M478" s="17">
        <f t="shared" si="64"/>
        <v>0</v>
      </c>
    </row>
    <row r="479" spans="1:13" s="12" customFormat="1" ht="32.450000000000003" customHeight="1" x14ac:dyDescent="0.2">
      <c r="A479" s="89"/>
      <c r="B479" s="33" t="s">
        <v>175</v>
      </c>
      <c r="C479" s="42">
        <v>920</v>
      </c>
      <c r="D479" s="13" t="s">
        <v>5</v>
      </c>
      <c r="E479" s="13" t="s">
        <v>21</v>
      </c>
      <c r="F479" s="13" t="s">
        <v>41</v>
      </c>
      <c r="G479" s="25">
        <v>1</v>
      </c>
      <c r="H479" s="13" t="s">
        <v>4</v>
      </c>
      <c r="I479" s="13" t="s">
        <v>455</v>
      </c>
      <c r="J479" s="13" t="s">
        <v>58</v>
      </c>
      <c r="K479" s="17">
        <v>10.199999999999999</v>
      </c>
      <c r="L479" s="17">
        <v>0</v>
      </c>
      <c r="M479" s="17">
        <f t="shared" si="64"/>
        <v>0</v>
      </c>
    </row>
    <row r="480" spans="1:13" s="12" customFormat="1" ht="31.5" x14ac:dyDescent="0.2">
      <c r="A480" s="89"/>
      <c r="B480" s="55" t="s">
        <v>463</v>
      </c>
      <c r="C480" s="42">
        <v>920</v>
      </c>
      <c r="D480" s="13" t="s">
        <v>5</v>
      </c>
      <c r="E480" s="13" t="s">
        <v>21</v>
      </c>
      <c r="F480" s="13" t="s">
        <v>41</v>
      </c>
      <c r="G480" s="13" t="s">
        <v>126</v>
      </c>
      <c r="H480" s="13" t="s">
        <v>4</v>
      </c>
      <c r="I480" s="13" t="s">
        <v>462</v>
      </c>
      <c r="J480" s="13"/>
      <c r="K480" s="17">
        <f>K481</f>
        <v>125.7</v>
      </c>
      <c r="L480" s="17">
        <f>L481</f>
        <v>97.1</v>
      </c>
      <c r="M480" s="17">
        <f t="shared" si="64"/>
        <v>77.247414478918046</v>
      </c>
    </row>
    <row r="481" spans="1:13" s="12" customFormat="1" ht="31.5" x14ac:dyDescent="0.2">
      <c r="A481" s="89"/>
      <c r="B481" s="33" t="s">
        <v>175</v>
      </c>
      <c r="C481" s="42">
        <v>920</v>
      </c>
      <c r="D481" s="13" t="s">
        <v>5</v>
      </c>
      <c r="E481" s="13" t="s">
        <v>21</v>
      </c>
      <c r="F481" s="13" t="s">
        <v>41</v>
      </c>
      <c r="G481" s="13" t="s">
        <v>126</v>
      </c>
      <c r="H481" s="13" t="s">
        <v>4</v>
      </c>
      <c r="I481" s="13" t="s">
        <v>462</v>
      </c>
      <c r="J481" s="13" t="s">
        <v>58</v>
      </c>
      <c r="K481" s="17">
        <v>125.7</v>
      </c>
      <c r="L481" s="17">
        <v>97.1</v>
      </c>
      <c r="M481" s="17">
        <f t="shared" si="64"/>
        <v>77.247414478918046</v>
      </c>
    </row>
    <row r="482" spans="1:13" s="12" customFormat="1" ht="34.15" customHeight="1" x14ac:dyDescent="0.2">
      <c r="A482" s="89"/>
      <c r="B482" s="33" t="s">
        <v>460</v>
      </c>
      <c r="C482" s="42">
        <v>920</v>
      </c>
      <c r="D482" s="13" t="s">
        <v>5</v>
      </c>
      <c r="E482" s="13" t="s">
        <v>21</v>
      </c>
      <c r="F482" s="13" t="s">
        <v>41</v>
      </c>
      <c r="G482" s="13" t="s">
        <v>126</v>
      </c>
      <c r="H482" s="13" t="s">
        <v>4</v>
      </c>
      <c r="I482" s="13" t="s">
        <v>461</v>
      </c>
      <c r="J482" s="13"/>
      <c r="K482" s="17">
        <f>K483</f>
        <v>92.7</v>
      </c>
      <c r="L482" s="17">
        <f>L483</f>
        <v>77.099999999999994</v>
      </c>
      <c r="M482" s="17">
        <f t="shared" si="64"/>
        <v>83.171521035598701</v>
      </c>
    </row>
    <row r="483" spans="1:13" s="12" customFormat="1" ht="33.6" customHeight="1" x14ac:dyDescent="0.2">
      <c r="A483" s="89"/>
      <c r="B483" s="33" t="s">
        <v>175</v>
      </c>
      <c r="C483" s="42">
        <v>920</v>
      </c>
      <c r="D483" s="13" t="s">
        <v>5</v>
      </c>
      <c r="E483" s="13" t="s">
        <v>21</v>
      </c>
      <c r="F483" s="13" t="s">
        <v>41</v>
      </c>
      <c r="G483" s="13" t="s">
        <v>126</v>
      </c>
      <c r="H483" s="13" t="s">
        <v>4</v>
      </c>
      <c r="I483" s="13" t="s">
        <v>461</v>
      </c>
      <c r="J483" s="13" t="s">
        <v>58</v>
      </c>
      <c r="K483" s="17">
        <v>92.7</v>
      </c>
      <c r="L483" s="17">
        <v>77.099999999999994</v>
      </c>
      <c r="M483" s="17">
        <f t="shared" si="64"/>
        <v>83.171521035598701</v>
      </c>
    </row>
    <row r="484" spans="1:13" s="12" customFormat="1" ht="65.45" customHeight="1" x14ac:dyDescent="0.2">
      <c r="A484" s="89"/>
      <c r="B484" s="33" t="s">
        <v>176</v>
      </c>
      <c r="C484" s="42">
        <v>920</v>
      </c>
      <c r="D484" s="26" t="s">
        <v>5</v>
      </c>
      <c r="E484" s="13" t="s">
        <v>21</v>
      </c>
      <c r="F484" s="26" t="s">
        <v>41</v>
      </c>
      <c r="G484" s="42">
        <v>1</v>
      </c>
      <c r="H484" s="26" t="s">
        <v>4</v>
      </c>
      <c r="I484" s="26" t="s">
        <v>177</v>
      </c>
      <c r="J484" s="26"/>
      <c r="K484" s="17">
        <f>SUM(K485:K485)</f>
        <v>63</v>
      </c>
      <c r="L484" s="17">
        <f>SUM(L485:L485)</f>
        <v>0</v>
      </c>
      <c r="M484" s="17">
        <f t="shared" si="64"/>
        <v>0</v>
      </c>
    </row>
    <row r="485" spans="1:13" s="12" customFormat="1" ht="49.9" customHeight="1" x14ac:dyDescent="0.2">
      <c r="A485" s="89"/>
      <c r="B485" s="33" t="s">
        <v>55</v>
      </c>
      <c r="C485" s="42">
        <v>920</v>
      </c>
      <c r="D485" s="26" t="s">
        <v>5</v>
      </c>
      <c r="E485" s="13" t="s">
        <v>21</v>
      </c>
      <c r="F485" s="26" t="s">
        <v>41</v>
      </c>
      <c r="G485" s="42">
        <v>1</v>
      </c>
      <c r="H485" s="26" t="s">
        <v>4</v>
      </c>
      <c r="I485" s="26" t="s">
        <v>177</v>
      </c>
      <c r="J485" s="26" t="s">
        <v>56</v>
      </c>
      <c r="K485" s="17">
        <v>63</v>
      </c>
      <c r="L485" s="17">
        <v>0</v>
      </c>
      <c r="M485" s="17">
        <f t="shared" si="64"/>
        <v>0</v>
      </c>
    </row>
    <row r="486" spans="1:13" s="12" customFormat="1" ht="19.149999999999999" customHeight="1" x14ac:dyDescent="0.2">
      <c r="A486" s="89"/>
      <c r="B486" s="50" t="s">
        <v>277</v>
      </c>
      <c r="C486" s="42">
        <v>920</v>
      </c>
      <c r="D486" s="26" t="s">
        <v>5</v>
      </c>
      <c r="E486" s="13" t="s">
        <v>21</v>
      </c>
      <c r="F486" s="26" t="s">
        <v>41</v>
      </c>
      <c r="G486" s="42">
        <v>2</v>
      </c>
      <c r="H486" s="26"/>
      <c r="I486" s="26"/>
      <c r="J486" s="26"/>
      <c r="K486" s="17">
        <f>SUM(K487)</f>
        <v>7408.5</v>
      </c>
      <c r="L486" s="17">
        <f>SUM(L487)</f>
        <v>4721.3</v>
      </c>
      <c r="M486" s="17">
        <f t="shared" si="64"/>
        <v>63.728150097860571</v>
      </c>
    </row>
    <row r="487" spans="1:13" s="12" customFormat="1" ht="64.150000000000006" customHeight="1" x14ac:dyDescent="0.2">
      <c r="A487" s="89"/>
      <c r="B487" s="50" t="s">
        <v>149</v>
      </c>
      <c r="C487" s="42">
        <v>920</v>
      </c>
      <c r="D487" s="26" t="s">
        <v>5</v>
      </c>
      <c r="E487" s="13" t="s">
        <v>21</v>
      </c>
      <c r="F487" s="26" t="s">
        <v>41</v>
      </c>
      <c r="G487" s="42">
        <v>2</v>
      </c>
      <c r="H487" s="26" t="s">
        <v>2</v>
      </c>
      <c r="I487" s="26"/>
      <c r="J487" s="26"/>
      <c r="K487" s="17">
        <f t="shared" ref="K487:L487" si="65">SUM(K488+K492)</f>
        <v>7408.5</v>
      </c>
      <c r="L487" s="17">
        <f t="shared" si="65"/>
        <v>4721.3</v>
      </c>
      <c r="M487" s="17">
        <f t="shared" si="64"/>
        <v>63.728150097860571</v>
      </c>
    </row>
    <row r="488" spans="1:13" s="12" customFormat="1" ht="64.900000000000006" customHeight="1" x14ac:dyDescent="0.2">
      <c r="A488" s="89"/>
      <c r="B488" s="33" t="s">
        <v>88</v>
      </c>
      <c r="C488" s="42">
        <v>920</v>
      </c>
      <c r="D488" s="26" t="s">
        <v>5</v>
      </c>
      <c r="E488" s="13" t="s">
        <v>21</v>
      </c>
      <c r="F488" s="26" t="s">
        <v>41</v>
      </c>
      <c r="G488" s="42">
        <v>2</v>
      </c>
      <c r="H488" s="26" t="s">
        <v>2</v>
      </c>
      <c r="I488" s="26" t="s">
        <v>116</v>
      </c>
      <c r="J488" s="26"/>
      <c r="K488" s="17">
        <f>SUM(K489:K491)</f>
        <v>6620.4000000000005</v>
      </c>
      <c r="L488" s="17">
        <f>SUM(L489:L491)</f>
        <v>4047.1000000000004</v>
      </c>
      <c r="M488" s="17">
        <f t="shared" si="64"/>
        <v>61.130747386864847</v>
      </c>
    </row>
    <row r="489" spans="1:13" s="12" customFormat="1" ht="48" customHeight="1" x14ac:dyDescent="0.2">
      <c r="A489" s="89"/>
      <c r="B489" s="33" t="s">
        <v>55</v>
      </c>
      <c r="C489" s="42">
        <v>920</v>
      </c>
      <c r="D489" s="26" t="s">
        <v>5</v>
      </c>
      <c r="E489" s="13" t="s">
        <v>21</v>
      </c>
      <c r="F489" s="26" t="s">
        <v>41</v>
      </c>
      <c r="G489" s="42">
        <v>2</v>
      </c>
      <c r="H489" s="26" t="s">
        <v>2</v>
      </c>
      <c r="I489" s="26" t="s">
        <v>116</v>
      </c>
      <c r="J489" s="26" t="s">
        <v>56</v>
      </c>
      <c r="K489" s="17">
        <f>5986.3+59.9</f>
        <v>6046.2</v>
      </c>
      <c r="L489" s="17">
        <v>3766.4</v>
      </c>
      <c r="M489" s="17">
        <f t="shared" si="64"/>
        <v>62.293672058483018</v>
      </c>
    </row>
    <row r="490" spans="1:13" s="12" customFormat="1" ht="31.5" x14ac:dyDescent="0.2">
      <c r="A490" s="89"/>
      <c r="B490" s="33" t="s">
        <v>175</v>
      </c>
      <c r="C490" s="42">
        <v>920</v>
      </c>
      <c r="D490" s="26" t="s">
        <v>5</v>
      </c>
      <c r="E490" s="13" t="s">
        <v>21</v>
      </c>
      <c r="F490" s="26" t="s">
        <v>41</v>
      </c>
      <c r="G490" s="42">
        <v>2</v>
      </c>
      <c r="H490" s="26" t="s">
        <v>2</v>
      </c>
      <c r="I490" s="26" t="s">
        <v>116</v>
      </c>
      <c r="J490" s="26" t="s">
        <v>58</v>
      </c>
      <c r="K490" s="17">
        <v>563.1</v>
      </c>
      <c r="L490" s="17">
        <v>278.39999999999998</v>
      </c>
      <c r="M490" s="17">
        <f t="shared" si="64"/>
        <v>49.44059669685668</v>
      </c>
    </row>
    <row r="491" spans="1:13" s="12" customFormat="1" ht="16.899999999999999" customHeight="1" x14ac:dyDescent="0.2">
      <c r="A491" s="89"/>
      <c r="B491" s="33" t="s">
        <v>60</v>
      </c>
      <c r="C491" s="42">
        <v>920</v>
      </c>
      <c r="D491" s="26" t="s">
        <v>5</v>
      </c>
      <c r="E491" s="13" t="s">
        <v>21</v>
      </c>
      <c r="F491" s="26" t="s">
        <v>41</v>
      </c>
      <c r="G491" s="42">
        <v>2</v>
      </c>
      <c r="H491" s="26" t="s">
        <v>2</v>
      </c>
      <c r="I491" s="26" t="s">
        <v>116</v>
      </c>
      <c r="J491" s="26" t="s">
        <v>61</v>
      </c>
      <c r="K491" s="17">
        <v>11.1</v>
      </c>
      <c r="L491" s="17">
        <v>2.2999999999999998</v>
      </c>
      <c r="M491" s="17">
        <f t="shared" si="64"/>
        <v>20.72072072072072</v>
      </c>
    </row>
    <row r="492" spans="1:13" s="12" customFormat="1" ht="67.900000000000006" customHeight="1" x14ac:dyDescent="0.2">
      <c r="A492" s="89"/>
      <c r="B492" s="33" t="s">
        <v>322</v>
      </c>
      <c r="C492" s="42">
        <v>920</v>
      </c>
      <c r="D492" s="26" t="s">
        <v>5</v>
      </c>
      <c r="E492" s="13" t="s">
        <v>21</v>
      </c>
      <c r="F492" s="26" t="s">
        <v>41</v>
      </c>
      <c r="G492" s="42">
        <v>2</v>
      </c>
      <c r="H492" s="26" t="s">
        <v>2</v>
      </c>
      <c r="I492" s="26" t="s">
        <v>248</v>
      </c>
      <c r="J492" s="26"/>
      <c r="K492" s="17">
        <f>SUM(K493:K495)</f>
        <v>788.09999999999991</v>
      </c>
      <c r="L492" s="17">
        <f>SUM(L493:L495)</f>
        <v>674.2</v>
      </c>
      <c r="M492" s="17">
        <f t="shared" si="64"/>
        <v>85.547519350336259</v>
      </c>
    </row>
    <row r="493" spans="1:13" s="12" customFormat="1" ht="49.9" customHeight="1" x14ac:dyDescent="0.2">
      <c r="A493" s="89"/>
      <c r="B493" s="33" t="s">
        <v>55</v>
      </c>
      <c r="C493" s="42">
        <v>920</v>
      </c>
      <c r="D493" s="26" t="s">
        <v>5</v>
      </c>
      <c r="E493" s="13" t="s">
        <v>21</v>
      </c>
      <c r="F493" s="26" t="s">
        <v>41</v>
      </c>
      <c r="G493" s="42">
        <v>2</v>
      </c>
      <c r="H493" s="26" t="s">
        <v>2</v>
      </c>
      <c r="I493" s="26" t="s">
        <v>248</v>
      </c>
      <c r="J493" s="26" t="s">
        <v>56</v>
      </c>
      <c r="K493" s="17">
        <v>719.8</v>
      </c>
      <c r="L493" s="17">
        <v>621</v>
      </c>
      <c r="M493" s="17">
        <f t="shared" si="64"/>
        <v>86.27396499027509</v>
      </c>
    </row>
    <row r="494" spans="1:13" s="12" customFormat="1" ht="31.5" x14ac:dyDescent="0.2">
      <c r="A494" s="89"/>
      <c r="B494" s="33" t="s">
        <v>175</v>
      </c>
      <c r="C494" s="42">
        <v>920</v>
      </c>
      <c r="D494" s="26" t="s">
        <v>5</v>
      </c>
      <c r="E494" s="13" t="s">
        <v>21</v>
      </c>
      <c r="F494" s="26" t="s">
        <v>41</v>
      </c>
      <c r="G494" s="42">
        <v>2</v>
      </c>
      <c r="H494" s="26" t="s">
        <v>2</v>
      </c>
      <c r="I494" s="26" t="s">
        <v>248</v>
      </c>
      <c r="J494" s="26" t="s">
        <v>58</v>
      </c>
      <c r="K494" s="17">
        <v>67</v>
      </c>
      <c r="L494" s="17">
        <v>53.2</v>
      </c>
      <c r="M494" s="17">
        <f t="shared" si="64"/>
        <v>79.402985074626869</v>
      </c>
    </row>
    <row r="495" spans="1:13" s="12" customFormat="1" x14ac:dyDescent="0.2">
      <c r="A495" s="89"/>
      <c r="B495" s="33" t="s">
        <v>60</v>
      </c>
      <c r="C495" s="42">
        <v>920</v>
      </c>
      <c r="D495" s="26" t="s">
        <v>5</v>
      </c>
      <c r="E495" s="13" t="s">
        <v>21</v>
      </c>
      <c r="F495" s="26" t="s">
        <v>41</v>
      </c>
      <c r="G495" s="42">
        <v>2</v>
      </c>
      <c r="H495" s="26" t="s">
        <v>2</v>
      </c>
      <c r="I495" s="26" t="s">
        <v>248</v>
      </c>
      <c r="J495" s="26" t="s">
        <v>61</v>
      </c>
      <c r="K495" s="17">
        <v>1.3</v>
      </c>
      <c r="L495" s="17">
        <v>0</v>
      </c>
      <c r="M495" s="17">
        <f t="shared" si="64"/>
        <v>0</v>
      </c>
    </row>
    <row r="496" spans="1:13" s="12" customFormat="1" x14ac:dyDescent="0.2">
      <c r="A496" s="89"/>
      <c r="B496" s="50" t="s">
        <v>278</v>
      </c>
      <c r="C496" s="42">
        <v>920</v>
      </c>
      <c r="D496" s="26" t="s">
        <v>5</v>
      </c>
      <c r="E496" s="13" t="s">
        <v>21</v>
      </c>
      <c r="F496" s="26" t="s">
        <v>41</v>
      </c>
      <c r="G496" s="42">
        <v>3</v>
      </c>
      <c r="H496" s="26"/>
      <c r="I496" s="26"/>
      <c r="J496" s="26"/>
      <c r="K496" s="17">
        <f t="shared" ref="K496:L496" si="66">SUM(K497)</f>
        <v>21640.299999999996</v>
      </c>
      <c r="L496" s="17">
        <f t="shared" si="66"/>
        <v>13455.7</v>
      </c>
      <c r="M496" s="17">
        <f t="shared" si="64"/>
        <v>62.178897704745332</v>
      </c>
    </row>
    <row r="497" spans="1:13" s="12" customFormat="1" ht="97.9" customHeight="1" x14ac:dyDescent="0.2">
      <c r="A497" s="89"/>
      <c r="B497" s="61" t="s">
        <v>150</v>
      </c>
      <c r="C497" s="42">
        <v>920</v>
      </c>
      <c r="D497" s="26" t="s">
        <v>5</v>
      </c>
      <c r="E497" s="13" t="s">
        <v>21</v>
      </c>
      <c r="F497" s="26" t="s">
        <v>41</v>
      </c>
      <c r="G497" s="42">
        <v>3</v>
      </c>
      <c r="H497" s="26" t="s">
        <v>2</v>
      </c>
      <c r="I497" s="26"/>
      <c r="J497" s="26"/>
      <c r="K497" s="17">
        <f>SUM(K498+K502+K506+K510)</f>
        <v>21640.299999999996</v>
      </c>
      <c r="L497" s="17">
        <f>SUM(L498+L502+L506+L510)</f>
        <v>13455.7</v>
      </c>
      <c r="M497" s="17">
        <f t="shared" si="64"/>
        <v>62.178897704745332</v>
      </c>
    </row>
    <row r="498" spans="1:13" s="12" customFormat="1" ht="67.150000000000006" customHeight="1" x14ac:dyDescent="0.2">
      <c r="A498" s="89"/>
      <c r="B498" s="33" t="s">
        <v>88</v>
      </c>
      <c r="C498" s="42">
        <v>920</v>
      </c>
      <c r="D498" s="26" t="s">
        <v>5</v>
      </c>
      <c r="E498" s="13" t="s">
        <v>21</v>
      </c>
      <c r="F498" s="26" t="s">
        <v>41</v>
      </c>
      <c r="G498" s="42">
        <v>3</v>
      </c>
      <c r="H498" s="26" t="s">
        <v>2</v>
      </c>
      <c r="I498" s="26" t="s">
        <v>116</v>
      </c>
      <c r="J498" s="26"/>
      <c r="K498" s="17">
        <f>SUM(K499:K501)</f>
        <v>11486.8</v>
      </c>
      <c r="L498" s="17">
        <f>SUM(L499:L501)</f>
        <v>7058.6</v>
      </c>
      <c r="M498" s="17">
        <f t="shared" si="64"/>
        <v>61.449663962113043</v>
      </c>
    </row>
    <row r="499" spans="1:13" s="12" customFormat="1" ht="48.6" customHeight="1" x14ac:dyDescent="0.2">
      <c r="A499" s="89"/>
      <c r="B499" s="33" t="s">
        <v>55</v>
      </c>
      <c r="C499" s="42">
        <v>920</v>
      </c>
      <c r="D499" s="26" t="s">
        <v>5</v>
      </c>
      <c r="E499" s="13" t="s">
        <v>21</v>
      </c>
      <c r="F499" s="26" t="s">
        <v>41</v>
      </c>
      <c r="G499" s="42">
        <v>3</v>
      </c>
      <c r="H499" s="26" t="s">
        <v>2</v>
      </c>
      <c r="I499" s="26" t="s">
        <v>116</v>
      </c>
      <c r="J499" s="26" t="s">
        <v>56</v>
      </c>
      <c r="K499" s="17">
        <f>9370.1+93.8</f>
        <v>9463.9</v>
      </c>
      <c r="L499" s="17">
        <v>5934</v>
      </c>
      <c r="M499" s="17">
        <f t="shared" si="64"/>
        <v>62.701423303289339</v>
      </c>
    </row>
    <row r="500" spans="1:13" s="12" customFormat="1" ht="32.450000000000003" customHeight="1" x14ac:dyDescent="0.2">
      <c r="A500" s="89"/>
      <c r="B500" s="33" t="s">
        <v>175</v>
      </c>
      <c r="C500" s="42">
        <v>920</v>
      </c>
      <c r="D500" s="26" t="s">
        <v>5</v>
      </c>
      <c r="E500" s="13" t="s">
        <v>21</v>
      </c>
      <c r="F500" s="26" t="s">
        <v>41</v>
      </c>
      <c r="G500" s="42">
        <v>3</v>
      </c>
      <c r="H500" s="26" t="s">
        <v>2</v>
      </c>
      <c r="I500" s="26" t="s">
        <v>116</v>
      </c>
      <c r="J500" s="26" t="s">
        <v>58</v>
      </c>
      <c r="K500" s="17">
        <v>2005</v>
      </c>
      <c r="L500" s="17">
        <v>1124.5999999999999</v>
      </c>
      <c r="M500" s="17">
        <f t="shared" si="64"/>
        <v>56.089775561097255</v>
      </c>
    </row>
    <row r="501" spans="1:13" s="12" customFormat="1" x14ac:dyDescent="0.2">
      <c r="A501" s="89"/>
      <c r="B501" s="33" t="s">
        <v>60</v>
      </c>
      <c r="C501" s="42">
        <v>920</v>
      </c>
      <c r="D501" s="26" t="s">
        <v>5</v>
      </c>
      <c r="E501" s="13" t="s">
        <v>21</v>
      </c>
      <c r="F501" s="26" t="s">
        <v>41</v>
      </c>
      <c r="G501" s="42">
        <v>3</v>
      </c>
      <c r="H501" s="26" t="s">
        <v>2</v>
      </c>
      <c r="I501" s="26" t="s">
        <v>116</v>
      </c>
      <c r="J501" s="26" t="s">
        <v>61</v>
      </c>
      <c r="K501" s="17">
        <v>17.899999999999999</v>
      </c>
      <c r="L501" s="17">
        <v>0</v>
      </c>
      <c r="M501" s="17">
        <f t="shared" si="64"/>
        <v>0</v>
      </c>
    </row>
    <row r="502" spans="1:13" s="12" customFormat="1" ht="62.45" customHeight="1" x14ac:dyDescent="0.2">
      <c r="A502" s="89"/>
      <c r="B502" s="33" t="s">
        <v>249</v>
      </c>
      <c r="C502" s="42">
        <v>920</v>
      </c>
      <c r="D502" s="26" t="s">
        <v>5</v>
      </c>
      <c r="E502" s="13" t="s">
        <v>21</v>
      </c>
      <c r="F502" s="26" t="s">
        <v>41</v>
      </c>
      <c r="G502" s="42">
        <v>3</v>
      </c>
      <c r="H502" s="26" t="s">
        <v>2</v>
      </c>
      <c r="I502" s="26" t="s">
        <v>250</v>
      </c>
      <c r="J502" s="26"/>
      <c r="K502" s="17">
        <f>SUM(K503:K505)</f>
        <v>6343.4</v>
      </c>
      <c r="L502" s="17">
        <f>SUM(L503:L505)</f>
        <v>3992.7</v>
      </c>
      <c r="M502" s="17">
        <f t="shared" si="64"/>
        <v>62.942585994892333</v>
      </c>
    </row>
    <row r="503" spans="1:13" s="12" customFormat="1" ht="81.599999999999994" customHeight="1" x14ac:dyDescent="0.2">
      <c r="A503" s="89"/>
      <c r="B503" s="33" t="s">
        <v>174</v>
      </c>
      <c r="C503" s="42">
        <v>920</v>
      </c>
      <c r="D503" s="26" t="s">
        <v>5</v>
      </c>
      <c r="E503" s="13" t="s">
        <v>21</v>
      </c>
      <c r="F503" s="26" t="s">
        <v>41</v>
      </c>
      <c r="G503" s="42">
        <v>3</v>
      </c>
      <c r="H503" s="26" t="s">
        <v>2</v>
      </c>
      <c r="I503" s="26" t="s">
        <v>250</v>
      </c>
      <c r="J503" s="26" t="s">
        <v>56</v>
      </c>
      <c r="K503" s="17">
        <f>4146+41</f>
        <v>4187</v>
      </c>
      <c r="L503" s="17">
        <v>2561.4</v>
      </c>
      <c r="M503" s="17">
        <f t="shared" si="64"/>
        <v>61.175065679484121</v>
      </c>
    </row>
    <row r="504" spans="1:13" s="12" customFormat="1" ht="31.5" x14ac:dyDescent="0.2">
      <c r="A504" s="89"/>
      <c r="B504" s="33" t="s">
        <v>175</v>
      </c>
      <c r="C504" s="42">
        <v>920</v>
      </c>
      <c r="D504" s="26" t="s">
        <v>5</v>
      </c>
      <c r="E504" s="13" t="s">
        <v>21</v>
      </c>
      <c r="F504" s="26" t="s">
        <v>41</v>
      </c>
      <c r="G504" s="42">
        <v>3</v>
      </c>
      <c r="H504" s="26" t="s">
        <v>2</v>
      </c>
      <c r="I504" s="26" t="s">
        <v>250</v>
      </c>
      <c r="J504" s="26" t="s">
        <v>58</v>
      </c>
      <c r="K504" s="17">
        <f>1914.1+212.7</f>
        <v>2126.7999999999997</v>
      </c>
      <c r="L504" s="17">
        <v>1409.8</v>
      </c>
      <c r="M504" s="17">
        <f t="shared" si="64"/>
        <v>66.287380101561027</v>
      </c>
    </row>
    <row r="505" spans="1:13" s="12" customFormat="1" x14ac:dyDescent="0.2">
      <c r="A505" s="89"/>
      <c r="B505" s="33" t="s">
        <v>60</v>
      </c>
      <c r="C505" s="42">
        <v>920</v>
      </c>
      <c r="D505" s="26" t="s">
        <v>5</v>
      </c>
      <c r="E505" s="13" t="s">
        <v>21</v>
      </c>
      <c r="F505" s="26" t="s">
        <v>41</v>
      </c>
      <c r="G505" s="42">
        <v>3</v>
      </c>
      <c r="H505" s="26" t="s">
        <v>2</v>
      </c>
      <c r="I505" s="26" t="s">
        <v>250</v>
      </c>
      <c r="J505" s="26" t="s">
        <v>61</v>
      </c>
      <c r="K505" s="17">
        <v>29.6</v>
      </c>
      <c r="L505" s="17">
        <v>21.5</v>
      </c>
      <c r="M505" s="17">
        <f t="shared" si="64"/>
        <v>72.63513513513513</v>
      </c>
    </row>
    <row r="506" spans="1:13" s="12" customFormat="1" ht="68.45" customHeight="1" x14ac:dyDescent="0.2">
      <c r="A506" s="89"/>
      <c r="B506" s="33" t="s">
        <v>324</v>
      </c>
      <c r="C506" s="42">
        <v>920</v>
      </c>
      <c r="D506" s="26" t="s">
        <v>5</v>
      </c>
      <c r="E506" s="13" t="s">
        <v>21</v>
      </c>
      <c r="F506" s="26" t="s">
        <v>41</v>
      </c>
      <c r="G506" s="42">
        <v>3</v>
      </c>
      <c r="H506" s="26" t="s">
        <v>2</v>
      </c>
      <c r="I506" s="26" t="s">
        <v>323</v>
      </c>
      <c r="J506" s="26"/>
      <c r="K506" s="17">
        <f>SUM(K507:K509)</f>
        <v>893.49999999999989</v>
      </c>
      <c r="L506" s="17">
        <f>SUM(L507:L509)</f>
        <v>473.2</v>
      </c>
      <c r="M506" s="17">
        <f t="shared" si="64"/>
        <v>52.960268606603258</v>
      </c>
    </row>
    <row r="507" spans="1:13" s="12" customFormat="1" ht="49.9" customHeight="1" x14ac:dyDescent="0.2">
      <c r="A507" s="89"/>
      <c r="B507" s="33" t="s">
        <v>55</v>
      </c>
      <c r="C507" s="42">
        <v>920</v>
      </c>
      <c r="D507" s="26" t="s">
        <v>5</v>
      </c>
      <c r="E507" s="13" t="s">
        <v>21</v>
      </c>
      <c r="F507" s="26" t="s">
        <v>41</v>
      </c>
      <c r="G507" s="42">
        <v>3</v>
      </c>
      <c r="H507" s="26" t="s">
        <v>2</v>
      </c>
      <c r="I507" s="26" t="s">
        <v>323</v>
      </c>
      <c r="J507" s="26" t="s">
        <v>56</v>
      </c>
      <c r="K507" s="17">
        <f>736.4+7.4</f>
        <v>743.8</v>
      </c>
      <c r="L507" s="17">
        <v>389.9</v>
      </c>
      <c r="M507" s="17">
        <f t="shared" si="64"/>
        <v>52.420005377789721</v>
      </c>
    </row>
    <row r="508" spans="1:13" s="12" customFormat="1" ht="31.15" customHeight="1" x14ac:dyDescent="0.2">
      <c r="A508" s="89"/>
      <c r="B508" s="33" t="s">
        <v>175</v>
      </c>
      <c r="C508" s="42">
        <v>920</v>
      </c>
      <c r="D508" s="26" t="s">
        <v>5</v>
      </c>
      <c r="E508" s="13" t="s">
        <v>21</v>
      </c>
      <c r="F508" s="26" t="s">
        <v>41</v>
      </c>
      <c r="G508" s="42">
        <v>3</v>
      </c>
      <c r="H508" s="26" t="s">
        <v>2</v>
      </c>
      <c r="I508" s="26" t="s">
        <v>323</v>
      </c>
      <c r="J508" s="26" t="s">
        <v>58</v>
      </c>
      <c r="K508" s="17">
        <v>148.30000000000001</v>
      </c>
      <c r="L508" s="17">
        <v>83.3</v>
      </c>
      <c r="M508" s="17">
        <f t="shared" si="64"/>
        <v>56.169925826028312</v>
      </c>
    </row>
    <row r="509" spans="1:13" s="12" customFormat="1" x14ac:dyDescent="0.2">
      <c r="A509" s="89"/>
      <c r="B509" s="33" t="s">
        <v>60</v>
      </c>
      <c r="C509" s="42">
        <v>920</v>
      </c>
      <c r="D509" s="26" t="s">
        <v>5</v>
      </c>
      <c r="E509" s="13" t="s">
        <v>21</v>
      </c>
      <c r="F509" s="26" t="s">
        <v>41</v>
      </c>
      <c r="G509" s="42">
        <v>3</v>
      </c>
      <c r="H509" s="26" t="s">
        <v>2</v>
      </c>
      <c r="I509" s="26" t="s">
        <v>323</v>
      </c>
      <c r="J509" s="26" t="s">
        <v>61</v>
      </c>
      <c r="K509" s="17">
        <v>1.4</v>
      </c>
      <c r="L509" s="17">
        <v>0</v>
      </c>
      <c r="M509" s="17">
        <f t="shared" si="64"/>
        <v>0</v>
      </c>
    </row>
    <row r="510" spans="1:13" s="12" customFormat="1" ht="81" customHeight="1" x14ac:dyDescent="0.2">
      <c r="A510" s="89"/>
      <c r="B510" s="33" t="s">
        <v>485</v>
      </c>
      <c r="C510" s="42">
        <v>920</v>
      </c>
      <c r="D510" s="26" t="s">
        <v>5</v>
      </c>
      <c r="E510" s="13" t="s">
        <v>21</v>
      </c>
      <c r="F510" s="26" t="s">
        <v>41</v>
      </c>
      <c r="G510" s="42">
        <v>3</v>
      </c>
      <c r="H510" s="26" t="s">
        <v>2</v>
      </c>
      <c r="I510" s="26" t="s">
        <v>486</v>
      </c>
      <c r="J510" s="26"/>
      <c r="K510" s="17">
        <f>SUM(K511:K512)</f>
        <v>2916.6</v>
      </c>
      <c r="L510" s="17">
        <f>SUM(L511:L512)</f>
        <v>1931.2</v>
      </c>
      <c r="M510" s="17">
        <f t="shared" si="64"/>
        <v>66.214084893368991</v>
      </c>
    </row>
    <row r="511" spans="1:13" s="12" customFormat="1" ht="46.15" customHeight="1" x14ac:dyDescent="0.2">
      <c r="A511" s="89"/>
      <c r="B511" s="33" t="s">
        <v>55</v>
      </c>
      <c r="C511" s="42">
        <v>920</v>
      </c>
      <c r="D511" s="26" t="s">
        <v>5</v>
      </c>
      <c r="E511" s="13" t="s">
        <v>21</v>
      </c>
      <c r="F511" s="26" t="s">
        <v>41</v>
      </c>
      <c r="G511" s="42">
        <v>3</v>
      </c>
      <c r="H511" s="26" t="s">
        <v>2</v>
      </c>
      <c r="I511" s="26" t="s">
        <v>486</v>
      </c>
      <c r="J511" s="26" t="s">
        <v>56</v>
      </c>
      <c r="K511" s="17">
        <f>2822.1+28</f>
        <v>2850.1</v>
      </c>
      <c r="L511" s="17">
        <v>1869.7</v>
      </c>
      <c r="M511" s="17">
        <f t="shared" si="64"/>
        <v>65.601206975193861</v>
      </c>
    </row>
    <row r="512" spans="1:13" s="12" customFormat="1" ht="31.5" x14ac:dyDescent="0.2">
      <c r="A512" s="89"/>
      <c r="B512" s="33" t="s">
        <v>175</v>
      </c>
      <c r="C512" s="42">
        <v>920</v>
      </c>
      <c r="D512" s="26" t="s">
        <v>5</v>
      </c>
      <c r="E512" s="13" t="s">
        <v>21</v>
      </c>
      <c r="F512" s="26" t="s">
        <v>41</v>
      </c>
      <c r="G512" s="42">
        <v>3</v>
      </c>
      <c r="H512" s="26" t="s">
        <v>2</v>
      </c>
      <c r="I512" s="26" t="s">
        <v>486</v>
      </c>
      <c r="J512" s="26" t="s">
        <v>58</v>
      </c>
      <c r="K512" s="17">
        <v>66.5</v>
      </c>
      <c r="L512" s="17">
        <v>61.5</v>
      </c>
      <c r="M512" s="17">
        <f t="shared" si="64"/>
        <v>92.481203007518801</v>
      </c>
    </row>
    <row r="513" spans="1:13" s="12" customFormat="1" ht="49.9" customHeight="1" x14ac:dyDescent="0.2">
      <c r="A513" s="89"/>
      <c r="B513" s="33" t="s">
        <v>84</v>
      </c>
      <c r="C513" s="42">
        <v>920</v>
      </c>
      <c r="D513" s="26" t="s">
        <v>5</v>
      </c>
      <c r="E513" s="13" t="s">
        <v>21</v>
      </c>
      <c r="F513" s="13" t="s">
        <v>141</v>
      </c>
      <c r="G513" s="25"/>
      <c r="H513" s="13"/>
      <c r="I513" s="13"/>
      <c r="J513" s="26"/>
      <c r="K513" s="17">
        <f t="shared" ref="K513:L515" si="67">K514</f>
        <v>25.8</v>
      </c>
      <c r="L513" s="17">
        <f t="shared" si="67"/>
        <v>25.8</v>
      </c>
      <c r="M513" s="17">
        <f t="shared" si="64"/>
        <v>100</v>
      </c>
    </row>
    <row r="514" spans="1:13" s="12" customFormat="1" ht="18.600000000000001" customHeight="1" x14ac:dyDescent="0.2">
      <c r="A514" s="89"/>
      <c r="B514" s="33" t="s">
        <v>64</v>
      </c>
      <c r="C514" s="42">
        <v>920</v>
      </c>
      <c r="D514" s="26" t="s">
        <v>5</v>
      </c>
      <c r="E514" s="13" t="s">
        <v>21</v>
      </c>
      <c r="F514" s="13" t="s">
        <v>141</v>
      </c>
      <c r="G514" s="25">
        <v>2</v>
      </c>
      <c r="H514" s="13"/>
      <c r="I514" s="13"/>
      <c r="J514" s="26"/>
      <c r="K514" s="17">
        <f t="shared" si="67"/>
        <v>25.8</v>
      </c>
      <c r="L514" s="17">
        <f t="shared" si="67"/>
        <v>25.8</v>
      </c>
      <c r="M514" s="17">
        <f t="shared" si="64"/>
        <v>100</v>
      </c>
    </row>
    <row r="515" spans="1:13" s="12" customFormat="1" ht="31.5" x14ac:dyDescent="0.2">
      <c r="A515" s="89"/>
      <c r="B515" s="33" t="s">
        <v>83</v>
      </c>
      <c r="C515" s="42">
        <v>920</v>
      </c>
      <c r="D515" s="26" t="s">
        <v>5</v>
      </c>
      <c r="E515" s="13" t="s">
        <v>21</v>
      </c>
      <c r="F515" s="13" t="s">
        <v>141</v>
      </c>
      <c r="G515" s="25">
        <v>2</v>
      </c>
      <c r="H515" s="13" t="s">
        <v>102</v>
      </c>
      <c r="I515" s="13" t="s">
        <v>143</v>
      </c>
      <c r="J515" s="26"/>
      <c r="K515" s="17">
        <f t="shared" si="67"/>
        <v>25.8</v>
      </c>
      <c r="L515" s="17">
        <f t="shared" si="67"/>
        <v>25.8</v>
      </c>
      <c r="M515" s="17">
        <f t="shared" si="64"/>
        <v>100</v>
      </c>
    </row>
    <row r="516" spans="1:13" s="12" customFormat="1" ht="31.5" x14ac:dyDescent="0.2">
      <c r="A516" s="89"/>
      <c r="B516" s="33" t="s">
        <v>175</v>
      </c>
      <c r="C516" s="42">
        <v>920</v>
      </c>
      <c r="D516" s="26" t="s">
        <v>5</v>
      </c>
      <c r="E516" s="13" t="s">
        <v>21</v>
      </c>
      <c r="F516" s="13" t="s">
        <v>141</v>
      </c>
      <c r="G516" s="25">
        <v>2</v>
      </c>
      <c r="H516" s="13" t="s">
        <v>102</v>
      </c>
      <c r="I516" s="13" t="s">
        <v>143</v>
      </c>
      <c r="J516" s="26" t="s">
        <v>58</v>
      </c>
      <c r="K516" s="17">
        <v>25.8</v>
      </c>
      <c r="L516" s="17">
        <v>25.8</v>
      </c>
      <c r="M516" s="17">
        <f t="shared" si="64"/>
        <v>100</v>
      </c>
    </row>
    <row r="517" spans="1:13" s="12" customFormat="1" ht="31.5" x14ac:dyDescent="0.2">
      <c r="A517" s="89"/>
      <c r="B517" s="33" t="s">
        <v>190</v>
      </c>
      <c r="C517" s="42">
        <v>920</v>
      </c>
      <c r="D517" s="26" t="s">
        <v>5</v>
      </c>
      <c r="E517" s="26" t="s">
        <v>10</v>
      </c>
      <c r="F517" s="26"/>
      <c r="G517" s="42"/>
      <c r="H517" s="26"/>
      <c r="I517" s="26"/>
      <c r="J517" s="26"/>
      <c r="K517" s="17">
        <f t="shared" ref="K517:L521" si="68">K518</f>
        <v>0</v>
      </c>
      <c r="L517" s="17">
        <f t="shared" si="68"/>
        <v>0</v>
      </c>
      <c r="M517" s="17"/>
    </row>
    <row r="518" spans="1:13" s="12" customFormat="1" ht="31.5" x14ac:dyDescent="0.2">
      <c r="A518" s="89"/>
      <c r="B518" s="33" t="s">
        <v>258</v>
      </c>
      <c r="C518" s="42">
        <v>920</v>
      </c>
      <c r="D518" s="26" t="s">
        <v>5</v>
      </c>
      <c r="E518" s="26" t="s">
        <v>10</v>
      </c>
      <c r="F518" s="26" t="s">
        <v>111</v>
      </c>
      <c r="G518" s="42"/>
      <c r="H518" s="26"/>
      <c r="I518" s="26"/>
      <c r="J518" s="26"/>
      <c r="K518" s="17">
        <f t="shared" si="68"/>
        <v>0</v>
      </c>
      <c r="L518" s="17">
        <f t="shared" si="68"/>
        <v>0</v>
      </c>
      <c r="M518" s="17"/>
    </row>
    <row r="519" spans="1:13" s="12" customFormat="1" ht="63" x14ac:dyDescent="0.2">
      <c r="A519" s="89"/>
      <c r="B519" s="33" t="s">
        <v>259</v>
      </c>
      <c r="C519" s="42">
        <v>920</v>
      </c>
      <c r="D519" s="26" t="s">
        <v>5</v>
      </c>
      <c r="E519" s="26" t="s">
        <v>10</v>
      </c>
      <c r="F519" s="26" t="s">
        <v>111</v>
      </c>
      <c r="G519" s="42">
        <v>2</v>
      </c>
      <c r="H519" s="26"/>
      <c r="I519" s="26"/>
      <c r="J519" s="26"/>
      <c r="K519" s="17">
        <f t="shared" si="68"/>
        <v>0</v>
      </c>
      <c r="L519" s="17">
        <f t="shared" si="68"/>
        <v>0</v>
      </c>
      <c r="M519" s="17"/>
    </row>
    <row r="520" spans="1:13" s="12" customFormat="1" ht="54" customHeight="1" x14ac:dyDescent="0.2">
      <c r="A520" s="89"/>
      <c r="B520" s="33" t="s">
        <v>191</v>
      </c>
      <c r="C520" s="42">
        <v>920</v>
      </c>
      <c r="D520" s="26" t="s">
        <v>5</v>
      </c>
      <c r="E520" s="26" t="s">
        <v>10</v>
      </c>
      <c r="F520" s="26" t="s">
        <v>111</v>
      </c>
      <c r="G520" s="42">
        <v>2</v>
      </c>
      <c r="H520" s="26" t="s">
        <v>2</v>
      </c>
      <c r="I520" s="26"/>
      <c r="J520" s="26"/>
      <c r="K520" s="17">
        <f t="shared" si="68"/>
        <v>0</v>
      </c>
      <c r="L520" s="17">
        <f t="shared" si="68"/>
        <v>0</v>
      </c>
      <c r="M520" s="17"/>
    </row>
    <row r="521" spans="1:13" s="12" customFormat="1" ht="35.450000000000003" customHeight="1" x14ac:dyDescent="0.2">
      <c r="A521" s="89"/>
      <c r="B521" s="33" t="s">
        <v>192</v>
      </c>
      <c r="C521" s="42">
        <v>920</v>
      </c>
      <c r="D521" s="26" t="s">
        <v>5</v>
      </c>
      <c r="E521" s="26" t="s">
        <v>10</v>
      </c>
      <c r="F521" s="26" t="s">
        <v>111</v>
      </c>
      <c r="G521" s="42">
        <v>2</v>
      </c>
      <c r="H521" s="26" t="s">
        <v>2</v>
      </c>
      <c r="I521" s="26" t="s">
        <v>195</v>
      </c>
      <c r="J521" s="26"/>
      <c r="K521" s="17">
        <f t="shared" si="68"/>
        <v>0</v>
      </c>
      <c r="L521" s="17">
        <f t="shared" si="68"/>
        <v>0</v>
      </c>
      <c r="M521" s="17"/>
    </row>
    <row r="522" spans="1:13" s="12" customFormat="1" ht="33.75" customHeight="1" x14ac:dyDescent="0.2">
      <c r="A522" s="89"/>
      <c r="B522" s="33" t="s">
        <v>175</v>
      </c>
      <c r="C522" s="42">
        <v>920</v>
      </c>
      <c r="D522" s="26" t="s">
        <v>5</v>
      </c>
      <c r="E522" s="26" t="s">
        <v>10</v>
      </c>
      <c r="F522" s="26" t="s">
        <v>111</v>
      </c>
      <c r="G522" s="42">
        <v>2</v>
      </c>
      <c r="H522" s="26" t="s">
        <v>2</v>
      </c>
      <c r="I522" s="26" t="s">
        <v>195</v>
      </c>
      <c r="J522" s="26" t="s">
        <v>58</v>
      </c>
      <c r="K522" s="17">
        <v>0</v>
      </c>
      <c r="L522" s="17">
        <v>0</v>
      </c>
      <c r="M522" s="17"/>
    </row>
    <row r="523" spans="1:13" s="12" customFormat="1" x14ac:dyDescent="0.2">
      <c r="A523" s="89"/>
      <c r="B523" s="33" t="s">
        <v>15</v>
      </c>
      <c r="C523" s="42">
        <v>920</v>
      </c>
      <c r="D523" s="26" t="s">
        <v>6</v>
      </c>
      <c r="E523" s="26"/>
      <c r="F523" s="26"/>
      <c r="G523" s="42"/>
      <c r="H523" s="26"/>
      <c r="I523" s="26"/>
      <c r="J523" s="26"/>
      <c r="K523" s="17">
        <f t="shared" ref="K523:L528" si="69">K524</f>
        <v>0</v>
      </c>
      <c r="L523" s="17">
        <f t="shared" si="69"/>
        <v>0</v>
      </c>
      <c r="M523" s="17"/>
    </row>
    <row r="524" spans="1:13" s="12" customFormat="1" x14ac:dyDescent="0.2">
      <c r="A524" s="89"/>
      <c r="B524" s="33" t="s">
        <v>511</v>
      </c>
      <c r="C524" s="42">
        <v>920</v>
      </c>
      <c r="D524" s="26" t="s">
        <v>6</v>
      </c>
      <c r="E524" s="26" t="s">
        <v>21</v>
      </c>
      <c r="F524" s="26"/>
      <c r="G524" s="42"/>
      <c r="H524" s="26"/>
      <c r="I524" s="26"/>
      <c r="J524" s="26"/>
      <c r="K524" s="17">
        <f t="shared" si="69"/>
        <v>0</v>
      </c>
      <c r="L524" s="17">
        <f t="shared" si="69"/>
        <v>0</v>
      </c>
      <c r="M524" s="17"/>
    </row>
    <row r="525" spans="1:13" s="12" customFormat="1" ht="48.6" customHeight="1" x14ac:dyDescent="0.2">
      <c r="A525" s="89"/>
      <c r="B525" s="33" t="s">
        <v>216</v>
      </c>
      <c r="C525" s="42">
        <v>920</v>
      </c>
      <c r="D525" s="26" t="s">
        <v>6</v>
      </c>
      <c r="E525" s="26" t="s">
        <v>21</v>
      </c>
      <c r="F525" s="26" t="s">
        <v>41</v>
      </c>
      <c r="G525" s="42"/>
      <c r="H525" s="26"/>
      <c r="I525" s="26"/>
      <c r="J525" s="26"/>
      <c r="K525" s="17">
        <f t="shared" si="69"/>
        <v>0</v>
      </c>
      <c r="L525" s="17">
        <f t="shared" si="69"/>
        <v>0</v>
      </c>
      <c r="M525" s="17"/>
    </row>
    <row r="526" spans="1:13" s="12" customFormat="1" ht="62.45" customHeight="1" x14ac:dyDescent="0.2">
      <c r="A526" s="89"/>
      <c r="B526" s="33" t="s">
        <v>513</v>
      </c>
      <c r="C526" s="42">
        <v>920</v>
      </c>
      <c r="D526" s="26" t="s">
        <v>6</v>
      </c>
      <c r="E526" s="26" t="s">
        <v>21</v>
      </c>
      <c r="F526" s="26" t="s">
        <v>41</v>
      </c>
      <c r="G526" s="42">
        <v>4</v>
      </c>
      <c r="H526" s="26"/>
      <c r="I526" s="26"/>
      <c r="J526" s="26"/>
      <c r="K526" s="17">
        <f t="shared" si="69"/>
        <v>0</v>
      </c>
      <c r="L526" s="17">
        <f t="shared" si="69"/>
        <v>0</v>
      </c>
      <c r="M526" s="17"/>
    </row>
    <row r="527" spans="1:13" s="12" customFormat="1" ht="63" customHeight="1" x14ac:dyDescent="0.2">
      <c r="A527" s="89"/>
      <c r="B527" s="33" t="s">
        <v>514</v>
      </c>
      <c r="C527" s="42">
        <v>920</v>
      </c>
      <c r="D527" s="26" t="s">
        <v>6</v>
      </c>
      <c r="E527" s="26" t="s">
        <v>21</v>
      </c>
      <c r="F527" s="26" t="s">
        <v>41</v>
      </c>
      <c r="G527" s="42">
        <v>4</v>
      </c>
      <c r="H527" s="26" t="s">
        <v>2</v>
      </c>
      <c r="I527" s="26"/>
      <c r="J527" s="26"/>
      <c r="K527" s="17">
        <f t="shared" si="69"/>
        <v>0</v>
      </c>
      <c r="L527" s="17">
        <f t="shared" si="69"/>
        <v>0</v>
      </c>
      <c r="M527" s="17"/>
    </row>
    <row r="528" spans="1:13" s="12" customFormat="1" ht="31.9" customHeight="1" x14ac:dyDescent="0.2">
      <c r="A528" s="89"/>
      <c r="B528" s="33" t="s">
        <v>512</v>
      </c>
      <c r="C528" s="42">
        <v>920</v>
      </c>
      <c r="D528" s="26" t="s">
        <v>6</v>
      </c>
      <c r="E528" s="26" t="s">
        <v>21</v>
      </c>
      <c r="F528" s="26" t="s">
        <v>41</v>
      </c>
      <c r="G528" s="42">
        <v>4</v>
      </c>
      <c r="H528" s="26" t="s">
        <v>2</v>
      </c>
      <c r="I528" s="26" t="s">
        <v>510</v>
      </c>
      <c r="J528" s="26"/>
      <c r="K528" s="17">
        <f t="shared" si="69"/>
        <v>0</v>
      </c>
      <c r="L528" s="17">
        <f t="shared" si="69"/>
        <v>0</v>
      </c>
      <c r="M528" s="17"/>
    </row>
    <row r="529" spans="1:13" s="12" customFormat="1" ht="31.5" x14ac:dyDescent="0.2">
      <c r="A529" s="89"/>
      <c r="B529" s="33" t="s">
        <v>175</v>
      </c>
      <c r="C529" s="42">
        <v>920</v>
      </c>
      <c r="D529" s="26" t="s">
        <v>6</v>
      </c>
      <c r="E529" s="26" t="s">
        <v>21</v>
      </c>
      <c r="F529" s="26" t="s">
        <v>41</v>
      </c>
      <c r="G529" s="42">
        <v>4</v>
      </c>
      <c r="H529" s="26" t="s">
        <v>2</v>
      </c>
      <c r="I529" s="26" t="s">
        <v>510</v>
      </c>
      <c r="J529" s="26" t="s">
        <v>58</v>
      </c>
      <c r="K529" s="17">
        <v>0</v>
      </c>
      <c r="L529" s="17">
        <v>0</v>
      </c>
      <c r="M529" s="17"/>
    </row>
    <row r="530" spans="1:13" s="12" customFormat="1" x14ac:dyDescent="0.2">
      <c r="A530" s="89"/>
      <c r="B530" s="33" t="s">
        <v>18</v>
      </c>
      <c r="C530" s="42">
        <v>920</v>
      </c>
      <c r="D530" s="13" t="s">
        <v>8</v>
      </c>
      <c r="E530" s="13"/>
      <c r="F530" s="13"/>
      <c r="G530" s="13"/>
      <c r="H530" s="13"/>
      <c r="I530" s="13"/>
      <c r="J530" s="13"/>
      <c r="K530" s="17">
        <f t="shared" ref="K530:L535" si="70">SUM(K531)</f>
        <v>21</v>
      </c>
      <c r="L530" s="17">
        <f t="shared" si="70"/>
        <v>8</v>
      </c>
      <c r="M530" s="17">
        <f t="shared" si="64"/>
        <v>38.095238095238095</v>
      </c>
    </row>
    <row r="531" spans="1:13" s="12" customFormat="1" ht="31.15" customHeight="1" x14ac:dyDescent="0.2">
      <c r="A531" s="89"/>
      <c r="B531" s="33" t="s">
        <v>457</v>
      </c>
      <c r="C531" s="42">
        <v>920</v>
      </c>
      <c r="D531" s="13" t="s">
        <v>8</v>
      </c>
      <c r="E531" s="13" t="s">
        <v>7</v>
      </c>
      <c r="F531" s="13"/>
      <c r="G531" s="13"/>
      <c r="H531" s="13"/>
      <c r="I531" s="13"/>
      <c r="J531" s="26"/>
      <c r="K531" s="17">
        <f t="shared" si="70"/>
        <v>21</v>
      </c>
      <c r="L531" s="17">
        <f t="shared" si="70"/>
        <v>8</v>
      </c>
      <c r="M531" s="17">
        <f t="shared" si="64"/>
        <v>38.095238095238095</v>
      </c>
    </row>
    <row r="532" spans="1:13" s="12" customFormat="1" ht="51" customHeight="1" x14ac:dyDescent="0.2">
      <c r="A532" s="89"/>
      <c r="B532" s="33" t="s">
        <v>216</v>
      </c>
      <c r="C532" s="42">
        <v>920</v>
      </c>
      <c r="D532" s="13" t="s">
        <v>8</v>
      </c>
      <c r="E532" s="13" t="s">
        <v>7</v>
      </c>
      <c r="F532" s="13" t="s">
        <v>41</v>
      </c>
      <c r="G532" s="13"/>
      <c r="H532" s="13"/>
      <c r="I532" s="13"/>
      <c r="J532" s="26"/>
      <c r="K532" s="17">
        <f t="shared" si="70"/>
        <v>21</v>
      </c>
      <c r="L532" s="17">
        <f t="shared" si="70"/>
        <v>8</v>
      </c>
      <c r="M532" s="17">
        <f t="shared" ref="M532:M595" si="71">L532/K532*100</f>
        <v>38.095238095238095</v>
      </c>
    </row>
    <row r="533" spans="1:13" s="12" customFormat="1" ht="48" customHeight="1" x14ac:dyDescent="0.2">
      <c r="A533" s="89"/>
      <c r="B533" s="50" t="s">
        <v>276</v>
      </c>
      <c r="C533" s="42">
        <v>920</v>
      </c>
      <c r="D533" s="13" t="s">
        <v>8</v>
      </c>
      <c r="E533" s="13" t="s">
        <v>7</v>
      </c>
      <c r="F533" s="13" t="s">
        <v>41</v>
      </c>
      <c r="G533" s="13" t="s">
        <v>126</v>
      </c>
      <c r="H533" s="13"/>
      <c r="I533" s="13"/>
      <c r="J533" s="26"/>
      <c r="K533" s="17">
        <f t="shared" si="70"/>
        <v>21</v>
      </c>
      <c r="L533" s="17">
        <f t="shared" si="70"/>
        <v>8</v>
      </c>
      <c r="M533" s="17">
        <f t="shared" si="71"/>
        <v>38.095238095238095</v>
      </c>
    </row>
    <row r="534" spans="1:13" s="12" customFormat="1" ht="46.15" customHeight="1" x14ac:dyDescent="0.2">
      <c r="A534" s="89"/>
      <c r="B534" s="33" t="s">
        <v>148</v>
      </c>
      <c r="C534" s="42">
        <v>920</v>
      </c>
      <c r="D534" s="13" t="s">
        <v>8</v>
      </c>
      <c r="E534" s="13" t="s">
        <v>7</v>
      </c>
      <c r="F534" s="13" t="s">
        <v>41</v>
      </c>
      <c r="G534" s="13" t="s">
        <v>126</v>
      </c>
      <c r="H534" s="13" t="s">
        <v>4</v>
      </c>
      <c r="I534" s="13"/>
      <c r="J534" s="26"/>
      <c r="K534" s="17">
        <f t="shared" si="70"/>
        <v>21</v>
      </c>
      <c r="L534" s="17">
        <f t="shared" si="70"/>
        <v>8</v>
      </c>
      <c r="M534" s="17">
        <f t="shared" si="71"/>
        <v>38.095238095238095</v>
      </c>
    </row>
    <row r="535" spans="1:13" s="12" customFormat="1" ht="27.6" customHeight="1" x14ac:dyDescent="0.2">
      <c r="A535" s="89"/>
      <c r="B535" s="33" t="s">
        <v>459</v>
      </c>
      <c r="C535" s="42">
        <v>920</v>
      </c>
      <c r="D535" s="13" t="s">
        <v>8</v>
      </c>
      <c r="E535" s="13" t="s">
        <v>7</v>
      </c>
      <c r="F535" s="13" t="s">
        <v>41</v>
      </c>
      <c r="G535" s="13" t="s">
        <v>126</v>
      </c>
      <c r="H535" s="13" t="s">
        <v>4</v>
      </c>
      <c r="I535" s="13" t="s">
        <v>458</v>
      </c>
      <c r="J535" s="26"/>
      <c r="K535" s="17">
        <f t="shared" si="70"/>
        <v>21</v>
      </c>
      <c r="L535" s="17">
        <f t="shared" si="70"/>
        <v>8</v>
      </c>
      <c r="M535" s="17">
        <f t="shared" si="71"/>
        <v>38.095238095238095</v>
      </c>
    </row>
    <row r="536" spans="1:13" s="12" customFormat="1" ht="33.75" customHeight="1" x14ac:dyDescent="0.2">
      <c r="A536" s="89"/>
      <c r="B536" s="33" t="s">
        <v>175</v>
      </c>
      <c r="C536" s="42">
        <v>920</v>
      </c>
      <c r="D536" s="13" t="s">
        <v>8</v>
      </c>
      <c r="E536" s="13" t="s">
        <v>7</v>
      </c>
      <c r="F536" s="13" t="s">
        <v>41</v>
      </c>
      <c r="G536" s="13" t="s">
        <v>126</v>
      </c>
      <c r="H536" s="13" t="s">
        <v>4</v>
      </c>
      <c r="I536" s="13" t="s">
        <v>458</v>
      </c>
      <c r="J536" s="26" t="s">
        <v>58</v>
      </c>
      <c r="K536" s="17">
        <f>20.9+0.1</f>
        <v>21</v>
      </c>
      <c r="L536" s="17">
        <v>8</v>
      </c>
      <c r="M536" s="17">
        <f t="shared" si="71"/>
        <v>38.095238095238095</v>
      </c>
    </row>
    <row r="537" spans="1:13" s="12" customFormat="1" ht="31.5" x14ac:dyDescent="0.2">
      <c r="A537" s="91">
        <v>7</v>
      </c>
      <c r="B537" s="33" t="s">
        <v>75</v>
      </c>
      <c r="C537" s="42">
        <v>921</v>
      </c>
      <c r="D537" s="26"/>
      <c r="E537" s="26"/>
      <c r="F537" s="26"/>
      <c r="G537" s="42"/>
      <c r="H537" s="26"/>
      <c r="I537" s="26"/>
      <c r="J537" s="26"/>
      <c r="K537" s="17">
        <f>SUM(K538+K572+K585+K578+K566)</f>
        <v>107596.5</v>
      </c>
      <c r="L537" s="17">
        <f>SUM(L538+L572+L585+L578+L566)</f>
        <v>76478.3</v>
      </c>
      <c r="M537" s="17">
        <f t="shared" si="71"/>
        <v>71.078799031567016</v>
      </c>
    </row>
    <row r="538" spans="1:13" s="12" customFormat="1" x14ac:dyDescent="0.2">
      <c r="A538" s="85"/>
      <c r="B538" s="33" t="s">
        <v>1</v>
      </c>
      <c r="C538" s="42">
        <v>921</v>
      </c>
      <c r="D538" s="26" t="s">
        <v>2</v>
      </c>
      <c r="E538" s="26"/>
      <c r="F538" s="26"/>
      <c r="G538" s="42"/>
      <c r="H538" s="26"/>
      <c r="I538" s="26"/>
      <c r="J538" s="26"/>
      <c r="K538" s="17">
        <f t="shared" ref="K538:L538" si="72">SUM(K539)</f>
        <v>24643.999999999996</v>
      </c>
      <c r="L538" s="17">
        <f t="shared" si="72"/>
        <v>16760.600000000002</v>
      </c>
      <c r="M538" s="17">
        <f t="shared" si="71"/>
        <v>68.010874857977626</v>
      </c>
    </row>
    <row r="539" spans="1:13" s="12" customFormat="1" x14ac:dyDescent="0.2">
      <c r="A539" s="85"/>
      <c r="B539" s="33" t="s">
        <v>9</v>
      </c>
      <c r="C539" s="42">
        <v>921</v>
      </c>
      <c r="D539" s="26" t="s">
        <v>2</v>
      </c>
      <c r="E539" s="26" t="s">
        <v>41</v>
      </c>
      <c r="F539" s="26"/>
      <c r="G539" s="42"/>
      <c r="H539" s="26"/>
      <c r="I539" s="26"/>
      <c r="J539" s="26"/>
      <c r="K539" s="17">
        <f>SUM(K540+K562)</f>
        <v>24643.999999999996</v>
      </c>
      <c r="L539" s="17">
        <f>SUM(L540+L562)</f>
        <v>16760.600000000002</v>
      </c>
      <c r="M539" s="17">
        <f t="shared" si="71"/>
        <v>68.010874857977626</v>
      </c>
    </row>
    <row r="540" spans="1:13" s="12" customFormat="1" ht="34.15" customHeight="1" x14ac:dyDescent="0.2">
      <c r="A540" s="85"/>
      <c r="B540" s="50" t="s">
        <v>279</v>
      </c>
      <c r="C540" s="42">
        <v>921</v>
      </c>
      <c r="D540" s="26" t="s">
        <v>2</v>
      </c>
      <c r="E540" s="26" t="s">
        <v>41</v>
      </c>
      <c r="F540" s="26" t="s">
        <v>128</v>
      </c>
      <c r="G540" s="42"/>
      <c r="H540" s="26"/>
      <c r="I540" s="26"/>
      <c r="J540" s="26"/>
      <c r="K540" s="17">
        <f>K541+K558</f>
        <v>24643.999999999996</v>
      </c>
      <c r="L540" s="17">
        <f>L541+L558</f>
        <v>16760.600000000002</v>
      </c>
      <c r="M540" s="17">
        <f t="shared" si="71"/>
        <v>68.010874857977626</v>
      </c>
    </row>
    <row r="541" spans="1:13" s="12" customFormat="1" ht="67.150000000000006" customHeight="1" x14ac:dyDescent="0.2">
      <c r="A541" s="85"/>
      <c r="B541" s="50" t="s">
        <v>129</v>
      </c>
      <c r="C541" s="42">
        <v>921</v>
      </c>
      <c r="D541" s="26" t="s">
        <v>2</v>
      </c>
      <c r="E541" s="26" t="s">
        <v>41</v>
      </c>
      <c r="F541" s="26" t="s">
        <v>128</v>
      </c>
      <c r="G541" s="42">
        <v>1</v>
      </c>
      <c r="H541" s="26"/>
      <c r="I541" s="26"/>
      <c r="J541" s="26"/>
      <c r="K541" s="17">
        <f>SUM(K542+K547+K554)</f>
        <v>24566.899999999998</v>
      </c>
      <c r="L541" s="17">
        <f>SUM(L542+L547+L554)</f>
        <v>16760.600000000002</v>
      </c>
      <c r="M541" s="17">
        <f t="shared" si="71"/>
        <v>68.224318086531071</v>
      </c>
    </row>
    <row r="542" spans="1:13" s="12" customFormat="1" ht="31.5" x14ac:dyDescent="0.2">
      <c r="A542" s="85"/>
      <c r="B542" s="50" t="s">
        <v>280</v>
      </c>
      <c r="C542" s="42">
        <v>921</v>
      </c>
      <c r="D542" s="26" t="s">
        <v>2</v>
      </c>
      <c r="E542" s="26" t="s">
        <v>41</v>
      </c>
      <c r="F542" s="26" t="s">
        <v>128</v>
      </c>
      <c r="G542" s="42">
        <v>1</v>
      </c>
      <c r="H542" s="26" t="s">
        <v>2</v>
      </c>
      <c r="I542" s="26"/>
      <c r="J542" s="26"/>
      <c r="K542" s="17">
        <f>SUM(K543+K545)</f>
        <v>14647.7</v>
      </c>
      <c r="L542" s="17">
        <f>SUM(L543+L545)</f>
        <v>10890</v>
      </c>
      <c r="M542" s="17">
        <f t="shared" si="71"/>
        <v>74.346143080483614</v>
      </c>
    </row>
    <row r="543" spans="1:13" s="12" customFormat="1" ht="63" customHeight="1" x14ac:dyDescent="0.2">
      <c r="A543" s="85"/>
      <c r="B543" s="50" t="s">
        <v>88</v>
      </c>
      <c r="C543" s="42">
        <v>921</v>
      </c>
      <c r="D543" s="26" t="s">
        <v>2</v>
      </c>
      <c r="E543" s="26" t="s">
        <v>41</v>
      </c>
      <c r="F543" s="26" t="s">
        <v>128</v>
      </c>
      <c r="G543" s="42">
        <v>1</v>
      </c>
      <c r="H543" s="26" t="s">
        <v>2</v>
      </c>
      <c r="I543" s="26" t="s">
        <v>116</v>
      </c>
      <c r="J543" s="26"/>
      <c r="K543" s="17">
        <f>SUM(K544:K544)</f>
        <v>14647.7</v>
      </c>
      <c r="L543" s="17">
        <f>SUM(L544:L544)</f>
        <v>10890</v>
      </c>
      <c r="M543" s="17">
        <f t="shared" si="71"/>
        <v>74.346143080483614</v>
      </c>
    </row>
    <row r="544" spans="1:13" s="12" customFormat="1" ht="33.6" customHeight="1" x14ac:dyDescent="0.2">
      <c r="A544" s="85"/>
      <c r="B544" s="53" t="s">
        <v>76</v>
      </c>
      <c r="C544" s="42">
        <v>921</v>
      </c>
      <c r="D544" s="26" t="s">
        <v>2</v>
      </c>
      <c r="E544" s="26" t="s">
        <v>41</v>
      </c>
      <c r="F544" s="26" t="s">
        <v>128</v>
      </c>
      <c r="G544" s="42">
        <v>1</v>
      </c>
      <c r="H544" s="26" t="s">
        <v>2</v>
      </c>
      <c r="I544" s="26" t="s">
        <v>116</v>
      </c>
      <c r="J544" s="26" t="s">
        <v>77</v>
      </c>
      <c r="K544" s="17">
        <f>14519.9+127.7+0.1</f>
        <v>14647.7</v>
      </c>
      <c r="L544" s="17">
        <v>10890</v>
      </c>
      <c r="M544" s="17">
        <f t="shared" si="71"/>
        <v>74.346143080483614</v>
      </c>
    </row>
    <row r="545" spans="1:13" s="12" customFormat="1" ht="18.75" customHeight="1" x14ac:dyDescent="0.2">
      <c r="A545" s="85"/>
      <c r="B545" s="53" t="s">
        <v>405</v>
      </c>
      <c r="C545" s="42">
        <v>921</v>
      </c>
      <c r="D545" s="26" t="s">
        <v>2</v>
      </c>
      <c r="E545" s="26" t="s">
        <v>41</v>
      </c>
      <c r="F545" s="26" t="s">
        <v>128</v>
      </c>
      <c r="G545" s="42">
        <v>1</v>
      </c>
      <c r="H545" s="26" t="s">
        <v>2</v>
      </c>
      <c r="I545" s="26" t="s">
        <v>404</v>
      </c>
      <c r="J545" s="26"/>
      <c r="K545" s="17">
        <f>K546</f>
        <v>0</v>
      </c>
      <c r="L545" s="17">
        <f>L546</f>
        <v>0</v>
      </c>
      <c r="M545" s="17"/>
    </row>
    <row r="546" spans="1:13" s="12" customFormat="1" ht="48" customHeight="1" x14ac:dyDescent="0.2">
      <c r="A546" s="85"/>
      <c r="B546" s="33" t="s">
        <v>55</v>
      </c>
      <c r="C546" s="42">
        <v>921</v>
      </c>
      <c r="D546" s="26" t="s">
        <v>2</v>
      </c>
      <c r="E546" s="26" t="s">
        <v>41</v>
      </c>
      <c r="F546" s="26" t="s">
        <v>128</v>
      </c>
      <c r="G546" s="42">
        <v>1</v>
      </c>
      <c r="H546" s="26" t="s">
        <v>2</v>
      </c>
      <c r="I546" s="26" t="s">
        <v>404</v>
      </c>
      <c r="J546" s="26" t="s">
        <v>77</v>
      </c>
      <c r="K546" s="17">
        <v>0</v>
      </c>
      <c r="L546" s="17">
        <v>0</v>
      </c>
      <c r="M546" s="17"/>
    </row>
    <row r="547" spans="1:13" s="12" customFormat="1" ht="52.15" customHeight="1" x14ac:dyDescent="0.2">
      <c r="A547" s="85"/>
      <c r="B547" s="50" t="s">
        <v>151</v>
      </c>
      <c r="C547" s="42">
        <v>921</v>
      </c>
      <c r="D547" s="26" t="s">
        <v>2</v>
      </c>
      <c r="E547" s="26" t="s">
        <v>41</v>
      </c>
      <c r="F547" s="26" t="s">
        <v>128</v>
      </c>
      <c r="G547" s="42">
        <v>1</v>
      </c>
      <c r="H547" s="26" t="s">
        <v>4</v>
      </c>
      <c r="I547" s="26"/>
      <c r="J547" s="26"/>
      <c r="K547" s="17">
        <f>SUM(K548+K552)</f>
        <v>7676.4</v>
      </c>
      <c r="L547" s="17">
        <f>SUM(L548+L552)</f>
        <v>5443.7</v>
      </c>
      <c r="M547" s="17">
        <f t="shared" si="71"/>
        <v>70.914751706529103</v>
      </c>
    </row>
    <row r="548" spans="1:13" s="12" customFormat="1" ht="31.5" x14ac:dyDescent="0.2">
      <c r="A548" s="85"/>
      <c r="B548" s="33" t="s">
        <v>54</v>
      </c>
      <c r="C548" s="42">
        <v>921</v>
      </c>
      <c r="D548" s="26" t="s">
        <v>2</v>
      </c>
      <c r="E548" s="26" t="s">
        <v>41</v>
      </c>
      <c r="F548" s="26" t="s">
        <v>128</v>
      </c>
      <c r="G548" s="42">
        <v>1</v>
      </c>
      <c r="H548" s="26" t="s">
        <v>4</v>
      </c>
      <c r="I548" s="26" t="s">
        <v>104</v>
      </c>
      <c r="J548" s="26"/>
      <c r="K548" s="17">
        <f>SUM(K549:K551)</f>
        <v>7652.4</v>
      </c>
      <c r="L548" s="17">
        <f>SUM(L549:L551)</f>
        <v>5443.7</v>
      </c>
      <c r="M548" s="17">
        <f t="shared" si="71"/>
        <v>71.137159583921388</v>
      </c>
    </row>
    <row r="549" spans="1:13" s="12" customFormat="1" ht="47.45" customHeight="1" x14ac:dyDescent="0.2">
      <c r="A549" s="85"/>
      <c r="B549" s="33" t="s">
        <v>55</v>
      </c>
      <c r="C549" s="42">
        <v>921</v>
      </c>
      <c r="D549" s="26" t="s">
        <v>2</v>
      </c>
      <c r="E549" s="26" t="s">
        <v>41</v>
      </c>
      <c r="F549" s="26" t="s">
        <v>128</v>
      </c>
      <c r="G549" s="42">
        <v>1</v>
      </c>
      <c r="H549" s="26" t="s">
        <v>4</v>
      </c>
      <c r="I549" s="26" t="s">
        <v>104</v>
      </c>
      <c r="J549" s="26" t="s">
        <v>56</v>
      </c>
      <c r="K549" s="17">
        <f>7494.5+75</f>
        <v>7569.5</v>
      </c>
      <c r="L549" s="17">
        <v>5443.7</v>
      </c>
      <c r="M549" s="17">
        <f t="shared" si="71"/>
        <v>71.916242816566481</v>
      </c>
    </row>
    <row r="550" spans="1:13" s="12" customFormat="1" ht="31.5" x14ac:dyDescent="0.2">
      <c r="A550" s="85"/>
      <c r="B550" s="33" t="s">
        <v>175</v>
      </c>
      <c r="C550" s="42">
        <v>921</v>
      </c>
      <c r="D550" s="26" t="s">
        <v>2</v>
      </c>
      <c r="E550" s="26" t="s">
        <v>41</v>
      </c>
      <c r="F550" s="26" t="s">
        <v>128</v>
      </c>
      <c r="G550" s="42">
        <v>1</v>
      </c>
      <c r="H550" s="26" t="s">
        <v>4</v>
      </c>
      <c r="I550" s="26" t="s">
        <v>104</v>
      </c>
      <c r="J550" s="26" t="s">
        <v>58</v>
      </c>
      <c r="K550" s="17">
        <f>7577.4-7494.5</f>
        <v>82.899999999999636</v>
      </c>
      <c r="L550" s="17">
        <v>0</v>
      </c>
      <c r="M550" s="17">
        <f t="shared" si="71"/>
        <v>0</v>
      </c>
    </row>
    <row r="551" spans="1:13" s="12" customFormat="1" x14ac:dyDescent="0.2">
      <c r="A551" s="85"/>
      <c r="B551" s="33" t="s">
        <v>60</v>
      </c>
      <c r="C551" s="42">
        <v>921</v>
      </c>
      <c r="D551" s="26" t="s">
        <v>2</v>
      </c>
      <c r="E551" s="26" t="s">
        <v>41</v>
      </c>
      <c r="F551" s="26" t="s">
        <v>128</v>
      </c>
      <c r="G551" s="42">
        <v>1</v>
      </c>
      <c r="H551" s="26" t="s">
        <v>4</v>
      </c>
      <c r="I551" s="26" t="s">
        <v>104</v>
      </c>
      <c r="J551" s="26" t="s">
        <v>61</v>
      </c>
      <c r="K551" s="17">
        <v>0</v>
      </c>
      <c r="L551" s="17">
        <v>0</v>
      </c>
      <c r="M551" s="17"/>
    </row>
    <row r="552" spans="1:13" s="12" customFormat="1" ht="31.5" x14ac:dyDescent="0.2">
      <c r="A552" s="85"/>
      <c r="B552" s="33" t="s">
        <v>456</v>
      </c>
      <c r="C552" s="42">
        <v>921</v>
      </c>
      <c r="D552" s="13" t="s">
        <v>2</v>
      </c>
      <c r="E552" s="13" t="s">
        <v>41</v>
      </c>
      <c r="F552" s="13" t="s">
        <v>128</v>
      </c>
      <c r="G552" s="25">
        <v>1</v>
      </c>
      <c r="H552" s="13" t="s">
        <v>4</v>
      </c>
      <c r="I552" s="13" t="s">
        <v>455</v>
      </c>
      <c r="J552" s="13"/>
      <c r="K552" s="17">
        <f>SUM(K553)</f>
        <v>24</v>
      </c>
      <c r="L552" s="17">
        <f>SUM(L553)</f>
        <v>0</v>
      </c>
      <c r="M552" s="17">
        <f t="shared" si="71"/>
        <v>0</v>
      </c>
    </row>
    <row r="553" spans="1:13" s="12" customFormat="1" ht="31.5" x14ac:dyDescent="0.2">
      <c r="A553" s="85"/>
      <c r="B553" s="33" t="s">
        <v>175</v>
      </c>
      <c r="C553" s="42">
        <v>921</v>
      </c>
      <c r="D553" s="13" t="s">
        <v>2</v>
      </c>
      <c r="E553" s="13" t="s">
        <v>41</v>
      </c>
      <c r="F553" s="13" t="s">
        <v>128</v>
      </c>
      <c r="G553" s="25">
        <v>1</v>
      </c>
      <c r="H553" s="13" t="s">
        <v>4</v>
      </c>
      <c r="I553" s="13" t="s">
        <v>455</v>
      </c>
      <c r="J553" s="13" t="s">
        <v>58</v>
      </c>
      <c r="K553" s="17">
        <v>24</v>
      </c>
      <c r="L553" s="17">
        <v>0</v>
      </c>
      <c r="M553" s="17">
        <f t="shared" si="71"/>
        <v>0</v>
      </c>
    </row>
    <row r="554" spans="1:13" s="12" customFormat="1" ht="31.5" x14ac:dyDescent="0.2">
      <c r="A554" s="85"/>
      <c r="B554" s="33" t="s">
        <v>223</v>
      </c>
      <c r="C554" s="42">
        <v>921</v>
      </c>
      <c r="D554" s="26" t="s">
        <v>2</v>
      </c>
      <c r="E554" s="26" t="s">
        <v>41</v>
      </c>
      <c r="F554" s="26" t="s">
        <v>128</v>
      </c>
      <c r="G554" s="42">
        <v>1</v>
      </c>
      <c r="H554" s="26" t="s">
        <v>5</v>
      </c>
      <c r="I554" s="26"/>
      <c r="J554" s="26"/>
      <c r="K554" s="17">
        <f t="shared" ref="K554:L554" si="73">SUM(K555)</f>
        <v>2242.8000000000002</v>
      </c>
      <c r="L554" s="17">
        <f t="shared" si="73"/>
        <v>426.9</v>
      </c>
      <c r="M554" s="17">
        <f t="shared" si="71"/>
        <v>19.034242910647404</v>
      </c>
    </row>
    <row r="555" spans="1:13" s="12" customFormat="1" ht="31.5" x14ac:dyDescent="0.2">
      <c r="A555" s="85"/>
      <c r="B555" s="33" t="s">
        <v>281</v>
      </c>
      <c r="C555" s="42">
        <v>921</v>
      </c>
      <c r="D555" s="26" t="s">
        <v>2</v>
      </c>
      <c r="E555" s="26" t="s">
        <v>41</v>
      </c>
      <c r="F555" s="26" t="s">
        <v>128</v>
      </c>
      <c r="G555" s="42">
        <v>1</v>
      </c>
      <c r="H555" s="26" t="s">
        <v>5</v>
      </c>
      <c r="I555" s="26" t="s">
        <v>224</v>
      </c>
      <c r="J555" s="26"/>
      <c r="K555" s="17">
        <f t="shared" ref="K555:L555" si="74">SUM(K556:K557)</f>
        <v>2242.8000000000002</v>
      </c>
      <c r="L555" s="17">
        <f t="shared" si="74"/>
        <v>426.9</v>
      </c>
      <c r="M555" s="17">
        <f t="shared" si="71"/>
        <v>19.034242910647404</v>
      </c>
    </row>
    <row r="556" spans="1:13" s="12" customFormat="1" ht="31.9" customHeight="1" x14ac:dyDescent="0.2">
      <c r="A556" s="85"/>
      <c r="B556" s="33" t="s">
        <v>175</v>
      </c>
      <c r="C556" s="42">
        <v>921</v>
      </c>
      <c r="D556" s="26" t="s">
        <v>2</v>
      </c>
      <c r="E556" s="26" t="s">
        <v>41</v>
      </c>
      <c r="F556" s="26" t="s">
        <v>128</v>
      </c>
      <c r="G556" s="42">
        <v>1</v>
      </c>
      <c r="H556" s="26" t="s">
        <v>5</v>
      </c>
      <c r="I556" s="26" t="s">
        <v>224</v>
      </c>
      <c r="J556" s="26" t="s">
        <v>58</v>
      </c>
      <c r="K556" s="17">
        <f>69.1+48+361.7+60-60+1260+444</f>
        <v>2182.8000000000002</v>
      </c>
      <c r="L556" s="17">
        <v>366.9</v>
      </c>
      <c r="M556" s="17">
        <f t="shared" si="71"/>
        <v>16.808686091258931</v>
      </c>
    </row>
    <row r="557" spans="1:13" s="12" customFormat="1" x14ac:dyDescent="0.2">
      <c r="A557" s="85"/>
      <c r="B557" s="33" t="s">
        <v>60</v>
      </c>
      <c r="C557" s="42">
        <v>921</v>
      </c>
      <c r="D557" s="26" t="s">
        <v>2</v>
      </c>
      <c r="E557" s="26" t="s">
        <v>41</v>
      </c>
      <c r="F557" s="26" t="s">
        <v>128</v>
      </c>
      <c r="G557" s="42">
        <v>1</v>
      </c>
      <c r="H557" s="26" t="s">
        <v>5</v>
      </c>
      <c r="I557" s="26" t="s">
        <v>224</v>
      </c>
      <c r="J557" s="26" t="s">
        <v>61</v>
      </c>
      <c r="K557" s="17">
        <f>60</f>
        <v>60</v>
      </c>
      <c r="L557" s="17">
        <v>60</v>
      </c>
      <c r="M557" s="17">
        <f t="shared" si="71"/>
        <v>100</v>
      </c>
    </row>
    <row r="558" spans="1:13" s="12" customFormat="1" ht="48" customHeight="1" x14ac:dyDescent="0.2">
      <c r="A558" s="85"/>
      <c r="B558" s="54" t="s">
        <v>393</v>
      </c>
      <c r="C558" s="42">
        <v>921</v>
      </c>
      <c r="D558" s="26" t="s">
        <v>2</v>
      </c>
      <c r="E558" s="26" t="s">
        <v>41</v>
      </c>
      <c r="F558" s="13" t="s">
        <v>128</v>
      </c>
      <c r="G558" s="13" t="s">
        <v>204</v>
      </c>
      <c r="H558" s="13"/>
      <c r="I558" s="13"/>
      <c r="J558" s="13"/>
      <c r="K558" s="17">
        <f t="shared" ref="K558:L560" si="75">K559</f>
        <v>77.099999999999994</v>
      </c>
      <c r="L558" s="17">
        <f t="shared" si="75"/>
        <v>0</v>
      </c>
      <c r="M558" s="17">
        <f t="shared" si="71"/>
        <v>0</v>
      </c>
    </row>
    <row r="559" spans="1:13" s="12" customFormat="1" ht="48.6" customHeight="1" x14ac:dyDescent="0.2">
      <c r="A559" s="85"/>
      <c r="B559" s="54" t="s">
        <v>394</v>
      </c>
      <c r="C559" s="42">
        <v>921</v>
      </c>
      <c r="D559" s="26" t="s">
        <v>2</v>
      </c>
      <c r="E559" s="26" t="s">
        <v>41</v>
      </c>
      <c r="F559" s="13" t="s">
        <v>128</v>
      </c>
      <c r="G559" s="13" t="s">
        <v>204</v>
      </c>
      <c r="H559" s="13" t="s">
        <v>2</v>
      </c>
      <c r="I559" s="13"/>
      <c r="J559" s="13"/>
      <c r="K559" s="17">
        <f t="shared" si="75"/>
        <v>77.099999999999994</v>
      </c>
      <c r="L559" s="17">
        <f t="shared" si="75"/>
        <v>0</v>
      </c>
      <c r="M559" s="17">
        <f t="shared" si="71"/>
        <v>0</v>
      </c>
    </row>
    <row r="560" spans="1:13" s="12" customFormat="1" ht="65.45" customHeight="1" x14ac:dyDescent="0.2">
      <c r="A560" s="85"/>
      <c r="B560" s="33" t="s">
        <v>350</v>
      </c>
      <c r="C560" s="42">
        <v>921</v>
      </c>
      <c r="D560" s="26" t="s">
        <v>2</v>
      </c>
      <c r="E560" s="26" t="s">
        <v>41</v>
      </c>
      <c r="F560" s="13" t="s">
        <v>128</v>
      </c>
      <c r="G560" s="13" t="s">
        <v>204</v>
      </c>
      <c r="H560" s="13" t="s">
        <v>2</v>
      </c>
      <c r="I560" s="13" t="s">
        <v>349</v>
      </c>
      <c r="J560" s="13"/>
      <c r="K560" s="17">
        <f t="shared" si="75"/>
        <v>77.099999999999994</v>
      </c>
      <c r="L560" s="17">
        <f t="shared" si="75"/>
        <v>0</v>
      </c>
      <c r="M560" s="17">
        <f t="shared" si="71"/>
        <v>0</v>
      </c>
    </row>
    <row r="561" spans="1:13" s="12" customFormat="1" ht="31.5" x14ac:dyDescent="0.2">
      <c r="A561" s="85"/>
      <c r="B561" s="33" t="s">
        <v>175</v>
      </c>
      <c r="C561" s="42">
        <v>921</v>
      </c>
      <c r="D561" s="26" t="s">
        <v>2</v>
      </c>
      <c r="E561" s="26" t="s">
        <v>41</v>
      </c>
      <c r="F561" s="13" t="s">
        <v>128</v>
      </c>
      <c r="G561" s="13" t="s">
        <v>204</v>
      </c>
      <c r="H561" s="13" t="s">
        <v>2</v>
      </c>
      <c r="I561" s="13" t="s">
        <v>349</v>
      </c>
      <c r="J561" s="13" t="s">
        <v>58</v>
      </c>
      <c r="K561" s="17">
        <f>50.1+17.9+9.1</f>
        <v>77.099999999999994</v>
      </c>
      <c r="L561" s="17">
        <v>0</v>
      </c>
      <c r="M561" s="17">
        <f t="shared" si="71"/>
        <v>0</v>
      </c>
    </row>
    <row r="562" spans="1:13" s="12" customFormat="1" ht="15" customHeight="1" x14ac:dyDescent="0.2">
      <c r="A562" s="85"/>
      <c r="B562" s="33" t="s">
        <v>89</v>
      </c>
      <c r="C562" s="42">
        <v>921</v>
      </c>
      <c r="D562" s="13" t="s">
        <v>2</v>
      </c>
      <c r="E562" s="13" t="s">
        <v>41</v>
      </c>
      <c r="F562" s="13" t="s">
        <v>109</v>
      </c>
      <c r="G562" s="42"/>
      <c r="H562" s="26"/>
      <c r="I562" s="26"/>
      <c r="J562" s="26"/>
      <c r="K562" s="17">
        <f t="shared" ref="K562:L564" si="76">K563</f>
        <v>0</v>
      </c>
      <c r="L562" s="17">
        <f t="shared" si="76"/>
        <v>0</v>
      </c>
      <c r="M562" s="17"/>
    </row>
    <row r="563" spans="1:13" s="12" customFormat="1" ht="32.450000000000003" customHeight="1" x14ac:dyDescent="0.2">
      <c r="A563" s="85"/>
      <c r="B563" s="33" t="s">
        <v>368</v>
      </c>
      <c r="C563" s="42">
        <v>921</v>
      </c>
      <c r="D563" s="13" t="s">
        <v>2</v>
      </c>
      <c r="E563" s="13" t="s">
        <v>41</v>
      </c>
      <c r="F563" s="13" t="s">
        <v>109</v>
      </c>
      <c r="G563" s="13" t="s">
        <v>133</v>
      </c>
      <c r="H563" s="13"/>
      <c r="I563" s="13"/>
      <c r="J563" s="13"/>
      <c r="K563" s="17">
        <f t="shared" si="76"/>
        <v>0</v>
      </c>
      <c r="L563" s="17">
        <f t="shared" si="76"/>
        <v>0</v>
      </c>
      <c r="M563" s="17"/>
    </row>
    <row r="564" spans="1:13" s="12" customFormat="1" ht="31.9" customHeight="1" x14ac:dyDescent="0.2">
      <c r="A564" s="85"/>
      <c r="B564" s="33" t="s">
        <v>368</v>
      </c>
      <c r="C564" s="42">
        <v>921</v>
      </c>
      <c r="D564" s="13" t="s">
        <v>2</v>
      </c>
      <c r="E564" s="13" t="s">
        <v>41</v>
      </c>
      <c r="F564" s="13" t="s">
        <v>109</v>
      </c>
      <c r="G564" s="13" t="s">
        <v>133</v>
      </c>
      <c r="H564" s="13" t="s">
        <v>102</v>
      </c>
      <c r="I564" s="13" t="s">
        <v>367</v>
      </c>
      <c r="J564" s="13"/>
      <c r="K564" s="17">
        <f t="shared" si="76"/>
        <v>0</v>
      </c>
      <c r="L564" s="17">
        <f t="shared" si="76"/>
        <v>0</v>
      </c>
      <c r="M564" s="17"/>
    </row>
    <row r="565" spans="1:13" s="12" customFormat="1" x14ac:dyDescent="0.2">
      <c r="A565" s="85"/>
      <c r="B565" s="33" t="s">
        <v>60</v>
      </c>
      <c r="C565" s="42">
        <v>921</v>
      </c>
      <c r="D565" s="13" t="s">
        <v>2</v>
      </c>
      <c r="E565" s="13" t="s">
        <v>41</v>
      </c>
      <c r="F565" s="13" t="s">
        <v>109</v>
      </c>
      <c r="G565" s="13" t="s">
        <v>133</v>
      </c>
      <c r="H565" s="13" t="s">
        <v>102</v>
      </c>
      <c r="I565" s="13" t="s">
        <v>367</v>
      </c>
      <c r="J565" s="13" t="s">
        <v>61</v>
      </c>
      <c r="K565" s="17">
        <v>0</v>
      </c>
      <c r="L565" s="17">
        <v>0</v>
      </c>
      <c r="M565" s="17"/>
    </row>
    <row r="566" spans="1:13" s="12" customFormat="1" ht="33" customHeight="1" x14ac:dyDescent="0.2">
      <c r="A566" s="85"/>
      <c r="B566" s="33" t="s">
        <v>14</v>
      </c>
      <c r="C566" s="42">
        <v>921</v>
      </c>
      <c r="D566" s="13" t="s">
        <v>5</v>
      </c>
      <c r="E566" s="13"/>
      <c r="F566" s="13"/>
      <c r="G566" s="13"/>
      <c r="H566" s="13"/>
      <c r="I566" s="13"/>
      <c r="J566" s="13"/>
      <c r="K566" s="17">
        <f t="shared" ref="K566:L570" si="77">K567</f>
        <v>1595.5</v>
      </c>
      <c r="L566" s="17">
        <f t="shared" si="77"/>
        <v>1595.5</v>
      </c>
      <c r="M566" s="17">
        <f t="shared" si="71"/>
        <v>100</v>
      </c>
    </row>
    <row r="567" spans="1:13" s="12" customFormat="1" ht="31.5" x14ac:dyDescent="0.2">
      <c r="A567" s="85"/>
      <c r="B567" s="33" t="s">
        <v>190</v>
      </c>
      <c r="C567" s="42">
        <v>921</v>
      </c>
      <c r="D567" s="13" t="s">
        <v>5</v>
      </c>
      <c r="E567" s="13" t="s">
        <v>10</v>
      </c>
      <c r="F567" s="13"/>
      <c r="G567" s="13"/>
      <c r="H567" s="13"/>
      <c r="I567" s="13"/>
      <c r="J567" s="13"/>
      <c r="K567" s="17">
        <f t="shared" si="77"/>
        <v>1595.5</v>
      </c>
      <c r="L567" s="17">
        <f t="shared" si="77"/>
        <v>1595.5</v>
      </c>
      <c r="M567" s="17">
        <f t="shared" si="71"/>
        <v>100</v>
      </c>
    </row>
    <row r="568" spans="1:13" s="12" customFormat="1" ht="46.15" customHeight="1" x14ac:dyDescent="0.2">
      <c r="A568" s="85"/>
      <c r="B568" s="33" t="s">
        <v>84</v>
      </c>
      <c r="C568" s="42">
        <v>921</v>
      </c>
      <c r="D568" s="13" t="s">
        <v>5</v>
      </c>
      <c r="E568" s="13" t="s">
        <v>10</v>
      </c>
      <c r="F568" s="13" t="s">
        <v>141</v>
      </c>
      <c r="G568" s="25"/>
      <c r="H568" s="13"/>
      <c r="I568" s="13"/>
      <c r="J568" s="13"/>
      <c r="K568" s="17">
        <f t="shared" si="77"/>
        <v>1595.5</v>
      </c>
      <c r="L568" s="17">
        <f t="shared" si="77"/>
        <v>1595.5</v>
      </c>
      <c r="M568" s="17">
        <f t="shared" si="71"/>
        <v>100</v>
      </c>
    </row>
    <row r="569" spans="1:13" s="12" customFormat="1" x14ac:dyDescent="0.2">
      <c r="A569" s="85"/>
      <c r="B569" s="33" t="s">
        <v>64</v>
      </c>
      <c r="C569" s="42">
        <v>921</v>
      </c>
      <c r="D569" s="13" t="s">
        <v>5</v>
      </c>
      <c r="E569" s="13" t="s">
        <v>10</v>
      </c>
      <c r="F569" s="13" t="s">
        <v>141</v>
      </c>
      <c r="G569" s="25">
        <v>2</v>
      </c>
      <c r="H569" s="13"/>
      <c r="I569" s="13"/>
      <c r="J569" s="13"/>
      <c r="K569" s="17">
        <f t="shared" si="77"/>
        <v>1595.5</v>
      </c>
      <c r="L569" s="17">
        <f t="shared" si="77"/>
        <v>1595.5</v>
      </c>
      <c r="M569" s="17">
        <f t="shared" si="71"/>
        <v>100</v>
      </c>
    </row>
    <row r="570" spans="1:13" s="12" customFormat="1" ht="31.5" x14ac:dyDescent="0.2">
      <c r="A570" s="85"/>
      <c r="B570" s="33" t="s">
        <v>83</v>
      </c>
      <c r="C570" s="42">
        <v>921</v>
      </c>
      <c r="D570" s="13" t="s">
        <v>5</v>
      </c>
      <c r="E570" s="13" t="s">
        <v>10</v>
      </c>
      <c r="F570" s="13" t="s">
        <v>141</v>
      </c>
      <c r="G570" s="25">
        <v>2</v>
      </c>
      <c r="H570" s="13" t="s">
        <v>102</v>
      </c>
      <c r="I570" s="13" t="s">
        <v>143</v>
      </c>
      <c r="J570" s="13"/>
      <c r="K570" s="17">
        <f t="shared" si="77"/>
        <v>1595.5</v>
      </c>
      <c r="L570" s="17">
        <f t="shared" si="77"/>
        <v>1595.5</v>
      </c>
      <c r="M570" s="17">
        <f t="shared" si="71"/>
        <v>100</v>
      </c>
    </row>
    <row r="571" spans="1:13" s="12" customFormat="1" ht="31.5" x14ac:dyDescent="0.2">
      <c r="A571" s="85"/>
      <c r="B571" s="33" t="s">
        <v>175</v>
      </c>
      <c r="C571" s="42">
        <v>921</v>
      </c>
      <c r="D571" s="13" t="s">
        <v>5</v>
      </c>
      <c r="E571" s="13" t="s">
        <v>10</v>
      </c>
      <c r="F571" s="13" t="s">
        <v>141</v>
      </c>
      <c r="G571" s="25">
        <v>2</v>
      </c>
      <c r="H571" s="13" t="s">
        <v>102</v>
      </c>
      <c r="I571" s="13" t="s">
        <v>143</v>
      </c>
      <c r="J571" s="13" t="s">
        <v>58</v>
      </c>
      <c r="K571" s="17">
        <v>1595.5</v>
      </c>
      <c r="L571" s="17">
        <v>1595.5</v>
      </c>
      <c r="M571" s="17">
        <f t="shared" si="71"/>
        <v>100</v>
      </c>
    </row>
    <row r="572" spans="1:13" s="12" customFormat="1" x14ac:dyDescent="0.2">
      <c r="A572" s="85"/>
      <c r="B572" s="33" t="s">
        <v>15</v>
      </c>
      <c r="C572" s="42">
        <v>921</v>
      </c>
      <c r="D572" s="26" t="s">
        <v>6</v>
      </c>
      <c r="E572" s="26"/>
      <c r="F572" s="26"/>
      <c r="G572" s="42"/>
      <c r="H572" s="26"/>
      <c r="I572" s="26"/>
      <c r="J572" s="26"/>
      <c r="K572" s="17">
        <f>SUM(K573)</f>
        <v>1626.8</v>
      </c>
      <c r="L572" s="17">
        <f>SUM(L573)</f>
        <v>0</v>
      </c>
      <c r="M572" s="17">
        <f t="shared" si="71"/>
        <v>0</v>
      </c>
    </row>
    <row r="573" spans="1:13" s="12" customFormat="1" ht="19.149999999999999" customHeight="1" x14ac:dyDescent="0.2">
      <c r="A573" s="85"/>
      <c r="B573" s="33" t="s">
        <v>65</v>
      </c>
      <c r="C573" s="42">
        <v>921</v>
      </c>
      <c r="D573" s="26" t="s">
        <v>6</v>
      </c>
      <c r="E573" s="26" t="s">
        <v>24</v>
      </c>
      <c r="F573" s="26"/>
      <c r="G573" s="42"/>
      <c r="H573" s="26"/>
      <c r="I573" s="26"/>
      <c r="J573" s="26"/>
      <c r="K573" s="17">
        <f t="shared" ref="K573:L576" si="78">SUM(K574)</f>
        <v>1626.8</v>
      </c>
      <c r="L573" s="17">
        <f t="shared" si="78"/>
        <v>0</v>
      </c>
      <c r="M573" s="17">
        <f t="shared" si="71"/>
        <v>0</v>
      </c>
    </row>
    <row r="574" spans="1:13" s="12" customFormat="1" x14ac:dyDescent="0.2">
      <c r="A574" s="85"/>
      <c r="B574" s="62" t="s">
        <v>66</v>
      </c>
      <c r="C574" s="42">
        <v>921</v>
      </c>
      <c r="D574" s="26" t="s">
        <v>6</v>
      </c>
      <c r="E574" s="26" t="s">
        <v>24</v>
      </c>
      <c r="F574" s="26" t="s">
        <v>123</v>
      </c>
      <c r="G574" s="42"/>
      <c r="H574" s="26"/>
      <c r="I574" s="26"/>
      <c r="J574" s="26"/>
      <c r="K574" s="17">
        <f t="shared" si="78"/>
        <v>1626.8</v>
      </c>
      <c r="L574" s="17">
        <f t="shared" si="78"/>
        <v>0</v>
      </c>
      <c r="M574" s="17">
        <f t="shared" si="71"/>
        <v>0</v>
      </c>
    </row>
    <row r="575" spans="1:13" s="12" customFormat="1" ht="31.5" x14ac:dyDescent="0.2">
      <c r="A575" s="85"/>
      <c r="B575" s="62" t="s">
        <v>124</v>
      </c>
      <c r="C575" s="42">
        <v>921</v>
      </c>
      <c r="D575" s="26" t="s">
        <v>6</v>
      </c>
      <c r="E575" s="26" t="s">
        <v>24</v>
      </c>
      <c r="F575" s="26" t="s">
        <v>123</v>
      </c>
      <c r="G575" s="42">
        <v>1</v>
      </c>
      <c r="H575" s="26"/>
      <c r="I575" s="26"/>
      <c r="J575" s="26"/>
      <c r="K575" s="17">
        <f t="shared" si="78"/>
        <v>1626.8</v>
      </c>
      <c r="L575" s="17">
        <f t="shared" si="78"/>
        <v>0</v>
      </c>
      <c r="M575" s="17">
        <f t="shared" si="71"/>
        <v>0</v>
      </c>
    </row>
    <row r="576" spans="1:13" s="12" customFormat="1" ht="63.6" customHeight="1" x14ac:dyDescent="0.2">
      <c r="A576" s="85"/>
      <c r="B576" s="62" t="s">
        <v>68</v>
      </c>
      <c r="C576" s="42">
        <v>921</v>
      </c>
      <c r="D576" s="26" t="s">
        <v>6</v>
      </c>
      <c r="E576" s="26" t="s">
        <v>24</v>
      </c>
      <c r="F576" s="26" t="s">
        <v>123</v>
      </c>
      <c r="G576" s="42">
        <v>1</v>
      </c>
      <c r="H576" s="26" t="s">
        <v>102</v>
      </c>
      <c r="I576" s="26" t="s">
        <v>125</v>
      </c>
      <c r="J576" s="26"/>
      <c r="K576" s="17">
        <f t="shared" si="78"/>
        <v>1626.8</v>
      </c>
      <c r="L576" s="17">
        <f t="shared" si="78"/>
        <v>0</v>
      </c>
      <c r="M576" s="17">
        <f t="shared" si="71"/>
        <v>0</v>
      </c>
    </row>
    <row r="577" spans="1:13" s="12" customFormat="1" ht="31.5" x14ac:dyDescent="0.2">
      <c r="A577" s="85"/>
      <c r="B577" s="33" t="s">
        <v>175</v>
      </c>
      <c r="C577" s="42">
        <v>921</v>
      </c>
      <c r="D577" s="26" t="s">
        <v>6</v>
      </c>
      <c r="E577" s="26" t="s">
        <v>24</v>
      </c>
      <c r="F577" s="26" t="s">
        <v>123</v>
      </c>
      <c r="G577" s="42">
        <v>1</v>
      </c>
      <c r="H577" s="26" t="s">
        <v>102</v>
      </c>
      <c r="I577" s="26" t="s">
        <v>125</v>
      </c>
      <c r="J577" s="26" t="s">
        <v>58</v>
      </c>
      <c r="K577" s="17">
        <v>1626.8</v>
      </c>
      <c r="L577" s="17">
        <v>0</v>
      </c>
      <c r="M577" s="17">
        <f t="shared" si="71"/>
        <v>0</v>
      </c>
    </row>
    <row r="578" spans="1:13" s="12" customFormat="1" x14ac:dyDescent="0.2">
      <c r="A578" s="85"/>
      <c r="B578" s="33" t="s">
        <v>18</v>
      </c>
      <c r="C578" s="42">
        <v>921</v>
      </c>
      <c r="D578" s="13" t="s">
        <v>8</v>
      </c>
      <c r="E578" s="13"/>
      <c r="F578" s="13"/>
      <c r="G578" s="13"/>
      <c r="H578" s="13"/>
      <c r="I578" s="13"/>
      <c r="J578" s="13"/>
      <c r="K578" s="17">
        <f t="shared" ref="K578:L583" si="79">SUM(K579)</f>
        <v>21</v>
      </c>
      <c r="L578" s="17">
        <f t="shared" si="79"/>
        <v>0</v>
      </c>
      <c r="M578" s="17">
        <f t="shared" si="71"/>
        <v>0</v>
      </c>
    </row>
    <row r="579" spans="1:13" s="12" customFormat="1" ht="35.450000000000003" customHeight="1" x14ac:dyDescent="0.2">
      <c r="A579" s="85"/>
      <c r="B579" s="33" t="s">
        <v>457</v>
      </c>
      <c r="C579" s="42">
        <v>921</v>
      </c>
      <c r="D579" s="13" t="s">
        <v>8</v>
      </c>
      <c r="E579" s="13" t="s">
        <v>7</v>
      </c>
      <c r="F579" s="13"/>
      <c r="G579" s="13"/>
      <c r="H579" s="13"/>
      <c r="I579" s="13"/>
      <c r="J579" s="26"/>
      <c r="K579" s="17">
        <f t="shared" si="79"/>
        <v>21</v>
      </c>
      <c r="L579" s="17">
        <f t="shared" si="79"/>
        <v>0</v>
      </c>
      <c r="M579" s="17">
        <f t="shared" si="71"/>
        <v>0</v>
      </c>
    </row>
    <row r="580" spans="1:13" s="12" customFormat="1" ht="33" customHeight="1" x14ac:dyDescent="0.2">
      <c r="A580" s="85"/>
      <c r="B580" s="50" t="s">
        <v>279</v>
      </c>
      <c r="C580" s="42">
        <v>921</v>
      </c>
      <c r="D580" s="13" t="s">
        <v>8</v>
      </c>
      <c r="E580" s="13" t="s">
        <v>7</v>
      </c>
      <c r="F580" s="13" t="s">
        <v>128</v>
      </c>
      <c r="G580" s="13"/>
      <c r="H580" s="13"/>
      <c r="I580" s="13"/>
      <c r="J580" s="26"/>
      <c r="K580" s="17">
        <f t="shared" si="79"/>
        <v>21</v>
      </c>
      <c r="L580" s="17">
        <f t="shared" si="79"/>
        <v>0</v>
      </c>
      <c r="M580" s="17">
        <f t="shared" si="71"/>
        <v>0</v>
      </c>
    </row>
    <row r="581" spans="1:13" s="12" customFormat="1" ht="62.45" customHeight="1" x14ac:dyDescent="0.2">
      <c r="A581" s="85"/>
      <c r="B581" s="50" t="s">
        <v>129</v>
      </c>
      <c r="C581" s="42">
        <v>921</v>
      </c>
      <c r="D581" s="13" t="s">
        <v>8</v>
      </c>
      <c r="E581" s="13" t="s">
        <v>7</v>
      </c>
      <c r="F581" s="13" t="s">
        <v>128</v>
      </c>
      <c r="G581" s="25">
        <v>1</v>
      </c>
      <c r="H581" s="13"/>
      <c r="I581" s="13"/>
      <c r="J581" s="13"/>
      <c r="K581" s="17">
        <f t="shared" si="79"/>
        <v>21</v>
      </c>
      <c r="L581" s="17">
        <f t="shared" si="79"/>
        <v>0</v>
      </c>
      <c r="M581" s="17">
        <f t="shared" si="71"/>
        <v>0</v>
      </c>
    </row>
    <row r="582" spans="1:13" s="12" customFormat="1" ht="48.6" customHeight="1" x14ac:dyDescent="0.2">
      <c r="A582" s="85"/>
      <c r="B582" s="50" t="s">
        <v>151</v>
      </c>
      <c r="C582" s="42">
        <v>921</v>
      </c>
      <c r="D582" s="13" t="s">
        <v>8</v>
      </c>
      <c r="E582" s="13" t="s">
        <v>7</v>
      </c>
      <c r="F582" s="13" t="s">
        <v>128</v>
      </c>
      <c r="G582" s="25">
        <v>1</v>
      </c>
      <c r="H582" s="13" t="s">
        <v>4</v>
      </c>
      <c r="I582" s="13"/>
      <c r="J582" s="13"/>
      <c r="K582" s="17">
        <f t="shared" si="79"/>
        <v>21</v>
      </c>
      <c r="L582" s="17">
        <f t="shared" si="79"/>
        <v>0</v>
      </c>
      <c r="M582" s="17">
        <f t="shared" si="71"/>
        <v>0</v>
      </c>
    </row>
    <row r="583" spans="1:13" s="12" customFormat="1" ht="35.450000000000003" customHeight="1" x14ac:dyDescent="0.2">
      <c r="A583" s="85"/>
      <c r="B583" s="33" t="s">
        <v>459</v>
      </c>
      <c r="C583" s="42">
        <v>921</v>
      </c>
      <c r="D583" s="13" t="s">
        <v>8</v>
      </c>
      <c r="E583" s="13" t="s">
        <v>7</v>
      </c>
      <c r="F583" s="13" t="s">
        <v>128</v>
      </c>
      <c r="G583" s="13" t="s">
        <v>126</v>
      </c>
      <c r="H583" s="13" t="s">
        <v>4</v>
      </c>
      <c r="I583" s="13" t="s">
        <v>458</v>
      </c>
      <c r="J583" s="26"/>
      <c r="K583" s="17">
        <f t="shared" si="79"/>
        <v>21</v>
      </c>
      <c r="L583" s="17">
        <f t="shared" si="79"/>
        <v>0</v>
      </c>
      <c r="M583" s="17">
        <f t="shared" si="71"/>
        <v>0</v>
      </c>
    </row>
    <row r="584" spans="1:13" s="12" customFormat="1" ht="34.9" customHeight="1" x14ac:dyDescent="0.2">
      <c r="A584" s="85"/>
      <c r="B584" s="33" t="s">
        <v>175</v>
      </c>
      <c r="C584" s="42">
        <v>921</v>
      </c>
      <c r="D584" s="13" t="s">
        <v>8</v>
      </c>
      <c r="E584" s="13" t="s">
        <v>7</v>
      </c>
      <c r="F584" s="13" t="s">
        <v>128</v>
      </c>
      <c r="G584" s="13" t="s">
        <v>126</v>
      </c>
      <c r="H584" s="13" t="s">
        <v>4</v>
      </c>
      <c r="I584" s="13" t="s">
        <v>458</v>
      </c>
      <c r="J584" s="26" t="s">
        <v>58</v>
      </c>
      <c r="K584" s="17">
        <v>21</v>
      </c>
      <c r="L584" s="17">
        <v>0</v>
      </c>
      <c r="M584" s="17">
        <f t="shared" si="71"/>
        <v>0</v>
      </c>
    </row>
    <row r="585" spans="1:13" s="12" customFormat="1" ht="18.75" customHeight="1" x14ac:dyDescent="0.2">
      <c r="A585" s="85"/>
      <c r="B585" s="33" t="s">
        <v>20</v>
      </c>
      <c r="C585" s="42">
        <v>921</v>
      </c>
      <c r="D585" s="26" t="s">
        <v>21</v>
      </c>
      <c r="E585" s="26"/>
      <c r="F585" s="26"/>
      <c r="G585" s="42"/>
      <c r="H585" s="26"/>
      <c r="I585" s="26"/>
      <c r="J585" s="26"/>
      <c r="K585" s="17">
        <f t="shared" ref="K585:L588" si="80">SUM(K586)</f>
        <v>79709.200000000012</v>
      </c>
      <c r="L585" s="17">
        <f t="shared" si="80"/>
        <v>58122.2</v>
      </c>
      <c r="M585" s="17">
        <f t="shared" si="71"/>
        <v>72.917806225630159</v>
      </c>
    </row>
    <row r="586" spans="1:13" s="12" customFormat="1" x14ac:dyDescent="0.2">
      <c r="A586" s="85"/>
      <c r="B586" s="33" t="s">
        <v>29</v>
      </c>
      <c r="C586" s="42">
        <v>921</v>
      </c>
      <c r="D586" s="26" t="s">
        <v>21</v>
      </c>
      <c r="E586" s="26" t="s">
        <v>6</v>
      </c>
      <c r="F586" s="13"/>
      <c r="G586" s="13"/>
      <c r="H586" s="13"/>
      <c r="I586" s="13"/>
      <c r="J586" s="13"/>
      <c r="K586" s="17">
        <f>SUM(K587)</f>
        <v>79709.200000000012</v>
      </c>
      <c r="L586" s="17">
        <f>SUM(L587)</f>
        <v>58122.2</v>
      </c>
      <c r="M586" s="17">
        <f t="shared" si="71"/>
        <v>72.917806225630159</v>
      </c>
    </row>
    <row r="587" spans="1:13" s="12" customFormat="1" ht="35.450000000000003" customHeight="1" x14ac:dyDescent="0.2">
      <c r="A587" s="85"/>
      <c r="B587" s="50" t="s">
        <v>279</v>
      </c>
      <c r="C587" s="42">
        <v>921</v>
      </c>
      <c r="D587" s="26" t="s">
        <v>21</v>
      </c>
      <c r="E587" s="26" t="s">
        <v>6</v>
      </c>
      <c r="F587" s="13" t="s">
        <v>128</v>
      </c>
      <c r="G587" s="13"/>
      <c r="H587" s="13"/>
      <c r="I587" s="13"/>
      <c r="J587" s="13"/>
      <c r="K587" s="17">
        <f>SUM(K588)</f>
        <v>79709.200000000012</v>
      </c>
      <c r="L587" s="17">
        <f>SUM(L588)</f>
        <v>58122.2</v>
      </c>
      <c r="M587" s="17">
        <f t="shared" si="71"/>
        <v>72.917806225630159</v>
      </c>
    </row>
    <row r="588" spans="1:13" s="12" customFormat="1" ht="46.15" customHeight="1" x14ac:dyDescent="0.2">
      <c r="A588" s="85"/>
      <c r="B588" s="54" t="s">
        <v>393</v>
      </c>
      <c r="C588" s="42">
        <v>921</v>
      </c>
      <c r="D588" s="26" t="s">
        <v>21</v>
      </c>
      <c r="E588" s="26" t="s">
        <v>6</v>
      </c>
      <c r="F588" s="13" t="s">
        <v>128</v>
      </c>
      <c r="G588" s="13" t="s">
        <v>204</v>
      </c>
      <c r="H588" s="13"/>
      <c r="I588" s="13"/>
      <c r="J588" s="13"/>
      <c r="K588" s="17">
        <f t="shared" si="80"/>
        <v>79709.200000000012</v>
      </c>
      <c r="L588" s="17">
        <f t="shared" si="80"/>
        <v>58122.2</v>
      </c>
      <c r="M588" s="17">
        <f t="shared" si="71"/>
        <v>72.917806225630159</v>
      </c>
    </row>
    <row r="589" spans="1:13" s="12" customFormat="1" ht="49.15" customHeight="1" x14ac:dyDescent="0.2">
      <c r="A589" s="85"/>
      <c r="B589" s="54" t="s">
        <v>394</v>
      </c>
      <c r="C589" s="42">
        <v>921</v>
      </c>
      <c r="D589" s="26" t="s">
        <v>21</v>
      </c>
      <c r="E589" s="26" t="s">
        <v>6</v>
      </c>
      <c r="F589" s="13" t="s">
        <v>128</v>
      </c>
      <c r="G589" s="13" t="s">
        <v>204</v>
      </c>
      <c r="H589" s="13" t="s">
        <v>2</v>
      </c>
      <c r="I589" s="13"/>
      <c r="J589" s="13"/>
      <c r="K589" s="17">
        <f>SUM(K590)</f>
        <v>79709.200000000012</v>
      </c>
      <c r="L589" s="17">
        <f>SUM(L590)</f>
        <v>58122.2</v>
      </c>
      <c r="M589" s="17">
        <f t="shared" si="71"/>
        <v>72.917806225630159</v>
      </c>
    </row>
    <row r="590" spans="1:13" s="12" customFormat="1" ht="66" customHeight="1" x14ac:dyDescent="0.2">
      <c r="A590" s="85"/>
      <c r="B590" s="33" t="s">
        <v>350</v>
      </c>
      <c r="C590" s="42">
        <v>921</v>
      </c>
      <c r="D590" s="26" t="s">
        <v>21</v>
      </c>
      <c r="E590" s="26" t="s">
        <v>6</v>
      </c>
      <c r="F590" s="13" t="s">
        <v>128</v>
      </c>
      <c r="G590" s="13" t="s">
        <v>204</v>
      </c>
      <c r="H590" s="13" t="s">
        <v>2</v>
      </c>
      <c r="I590" s="13" t="s">
        <v>349</v>
      </c>
      <c r="J590" s="13"/>
      <c r="K590" s="17">
        <f>SUM(K591:K592)</f>
        <v>79709.200000000012</v>
      </c>
      <c r="L590" s="17">
        <f>SUM(L591:L592)</f>
        <v>58122.2</v>
      </c>
      <c r="M590" s="17">
        <f t="shared" si="71"/>
        <v>72.917806225630159</v>
      </c>
    </row>
    <row r="591" spans="1:13" s="12" customFormat="1" ht="31.5" x14ac:dyDescent="0.2">
      <c r="A591" s="85"/>
      <c r="B591" s="33" t="s">
        <v>175</v>
      </c>
      <c r="C591" s="42">
        <v>921</v>
      </c>
      <c r="D591" s="26" t="s">
        <v>21</v>
      </c>
      <c r="E591" s="26" t="s">
        <v>6</v>
      </c>
      <c r="F591" s="13" t="s">
        <v>128</v>
      </c>
      <c r="G591" s="13" t="s">
        <v>204</v>
      </c>
      <c r="H591" s="13" t="s">
        <v>2</v>
      </c>
      <c r="I591" s="13" t="s">
        <v>349</v>
      </c>
      <c r="J591" s="13" t="s">
        <v>58</v>
      </c>
      <c r="K591" s="17">
        <v>0</v>
      </c>
      <c r="L591" s="17">
        <v>0</v>
      </c>
      <c r="M591" s="17"/>
    </row>
    <row r="592" spans="1:13" s="12" customFormat="1" ht="31.5" x14ac:dyDescent="0.2">
      <c r="A592" s="85"/>
      <c r="B592" s="33" t="s">
        <v>100</v>
      </c>
      <c r="C592" s="42">
        <v>921</v>
      </c>
      <c r="D592" s="26" t="s">
        <v>21</v>
      </c>
      <c r="E592" s="26" t="s">
        <v>6</v>
      </c>
      <c r="F592" s="13" t="s">
        <v>128</v>
      </c>
      <c r="G592" s="13" t="s">
        <v>204</v>
      </c>
      <c r="H592" s="13" t="s">
        <v>2</v>
      </c>
      <c r="I592" s="13" t="s">
        <v>349</v>
      </c>
      <c r="J592" s="13" t="s">
        <v>67</v>
      </c>
      <c r="K592" s="17">
        <f>51751.9+18579.7+9377.6</f>
        <v>79709.200000000012</v>
      </c>
      <c r="L592" s="17">
        <v>58122.2</v>
      </c>
      <c r="M592" s="17">
        <f t="shared" si="71"/>
        <v>72.917806225630159</v>
      </c>
    </row>
    <row r="593" spans="1:13" s="12" customFormat="1" ht="31.5" x14ac:dyDescent="0.2">
      <c r="A593" s="91">
        <v>8</v>
      </c>
      <c r="B593" s="33" t="s">
        <v>220</v>
      </c>
      <c r="C593" s="42">
        <v>923</v>
      </c>
      <c r="D593" s="26"/>
      <c r="E593" s="26"/>
      <c r="F593" s="13"/>
      <c r="G593" s="13"/>
      <c r="H593" s="13"/>
      <c r="I593" s="13"/>
      <c r="J593" s="26"/>
      <c r="K593" s="17">
        <f>K594+K600+K629+K636</f>
        <v>26986.5</v>
      </c>
      <c r="L593" s="17">
        <f>L594+L600+L629+L636</f>
        <v>18617.400000000001</v>
      </c>
      <c r="M593" s="17">
        <f t="shared" si="71"/>
        <v>68.987827246956812</v>
      </c>
    </row>
    <row r="594" spans="1:13" s="12" customFormat="1" ht="30" customHeight="1" x14ac:dyDescent="0.2">
      <c r="A594" s="85"/>
      <c r="B594" s="33" t="s">
        <v>14</v>
      </c>
      <c r="C594" s="42">
        <v>923</v>
      </c>
      <c r="D594" s="26" t="s">
        <v>5</v>
      </c>
      <c r="E594" s="26"/>
      <c r="F594" s="13"/>
      <c r="G594" s="25"/>
      <c r="H594" s="13"/>
      <c r="I594" s="13"/>
      <c r="J594" s="26"/>
      <c r="K594" s="17">
        <f t="shared" ref="K594:L598" si="81">K595</f>
        <v>114.9</v>
      </c>
      <c r="L594" s="17">
        <f t="shared" si="81"/>
        <v>114.9</v>
      </c>
      <c r="M594" s="17">
        <f t="shared" si="71"/>
        <v>100</v>
      </c>
    </row>
    <row r="595" spans="1:13" s="12" customFormat="1" ht="47.45" customHeight="1" x14ac:dyDescent="0.2">
      <c r="A595" s="85"/>
      <c r="B595" s="33" t="s">
        <v>412</v>
      </c>
      <c r="C595" s="42">
        <v>923</v>
      </c>
      <c r="D595" s="26" t="s">
        <v>5</v>
      </c>
      <c r="E595" s="13" t="s">
        <v>21</v>
      </c>
      <c r="F595" s="13"/>
      <c r="G595" s="25"/>
      <c r="H595" s="13"/>
      <c r="I595" s="13"/>
      <c r="J595" s="26"/>
      <c r="K595" s="17">
        <f t="shared" si="81"/>
        <v>114.9</v>
      </c>
      <c r="L595" s="17">
        <f t="shared" si="81"/>
        <v>114.9</v>
      </c>
      <c r="M595" s="17">
        <f t="shared" si="71"/>
        <v>100</v>
      </c>
    </row>
    <row r="596" spans="1:13" s="12" customFormat="1" ht="48" customHeight="1" x14ac:dyDescent="0.2">
      <c r="A596" s="85"/>
      <c r="B596" s="33" t="s">
        <v>84</v>
      </c>
      <c r="C596" s="42">
        <v>923</v>
      </c>
      <c r="D596" s="26" t="s">
        <v>5</v>
      </c>
      <c r="E596" s="13" t="s">
        <v>21</v>
      </c>
      <c r="F596" s="13" t="s">
        <v>141</v>
      </c>
      <c r="G596" s="25"/>
      <c r="H596" s="13"/>
      <c r="I596" s="13"/>
      <c r="J596" s="26"/>
      <c r="K596" s="17">
        <f t="shared" si="81"/>
        <v>114.9</v>
      </c>
      <c r="L596" s="17">
        <f t="shared" si="81"/>
        <v>114.9</v>
      </c>
      <c r="M596" s="17">
        <f t="shared" ref="M596:M659" si="82">L596/K596*100</f>
        <v>100</v>
      </c>
    </row>
    <row r="597" spans="1:13" s="12" customFormat="1" x14ac:dyDescent="0.2">
      <c r="A597" s="85"/>
      <c r="B597" s="33" t="s">
        <v>64</v>
      </c>
      <c r="C597" s="42">
        <v>923</v>
      </c>
      <c r="D597" s="26" t="s">
        <v>5</v>
      </c>
      <c r="E597" s="13" t="s">
        <v>21</v>
      </c>
      <c r="F597" s="13" t="s">
        <v>141</v>
      </c>
      <c r="G597" s="25">
        <v>2</v>
      </c>
      <c r="H597" s="13"/>
      <c r="I597" s="13"/>
      <c r="J597" s="26"/>
      <c r="K597" s="17">
        <f t="shared" si="81"/>
        <v>114.9</v>
      </c>
      <c r="L597" s="17">
        <f t="shared" si="81"/>
        <v>114.9</v>
      </c>
      <c r="M597" s="17">
        <f t="shared" si="82"/>
        <v>100</v>
      </c>
    </row>
    <row r="598" spans="1:13" s="12" customFormat="1" ht="31.5" x14ac:dyDescent="0.2">
      <c r="A598" s="85"/>
      <c r="B598" s="33" t="s">
        <v>83</v>
      </c>
      <c r="C598" s="42">
        <v>923</v>
      </c>
      <c r="D598" s="26" t="s">
        <v>5</v>
      </c>
      <c r="E598" s="13" t="s">
        <v>21</v>
      </c>
      <c r="F598" s="13" t="s">
        <v>141</v>
      </c>
      <c r="G598" s="25">
        <v>2</v>
      </c>
      <c r="H598" s="13" t="s">
        <v>102</v>
      </c>
      <c r="I598" s="13" t="s">
        <v>143</v>
      </c>
      <c r="J598" s="26"/>
      <c r="K598" s="17">
        <f t="shared" si="81"/>
        <v>114.9</v>
      </c>
      <c r="L598" s="17">
        <f t="shared" si="81"/>
        <v>114.9</v>
      </c>
      <c r="M598" s="17">
        <f t="shared" si="82"/>
        <v>100</v>
      </c>
    </row>
    <row r="599" spans="1:13" s="12" customFormat="1" ht="31.5" x14ac:dyDescent="0.2">
      <c r="A599" s="85"/>
      <c r="B599" s="33" t="s">
        <v>175</v>
      </c>
      <c r="C599" s="42">
        <v>923</v>
      </c>
      <c r="D599" s="26" t="s">
        <v>5</v>
      </c>
      <c r="E599" s="13" t="s">
        <v>21</v>
      </c>
      <c r="F599" s="13" t="s">
        <v>141</v>
      </c>
      <c r="G599" s="25">
        <v>2</v>
      </c>
      <c r="H599" s="13" t="s">
        <v>102</v>
      </c>
      <c r="I599" s="13" t="s">
        <v>143</v>
      </c>
      <c r="J599" s="26" t="s">
        <v>58</v>
      </c>
      <c r="K599" s="17">
        <v>114.9</v>
      </c>
      <c r="L599" s="17">
        <v>114.9</v>
      </c>
      <c r="M599" s="17">
        <f t="shared" si="82"/>
        <v>100</v>
      </c>
    </row>
    <row r="600" spans="1:13" s="12" customFormat="1" x14ac:dyDescent="0.2">
      <c r="A600" s="85"/>
      <c r="B600" s="33" t="s">
        <v>42</v>
      </c>
      <c r="C600" s="42">
        <v>923</v>
      </c>
      <c r="D600" s="26" t="s">
        <v>7</v>
      </c>
      <c r="E600" s="26"/>
      <c r="F600" s="13"/>
      <c r="G600" s="13"/>
      <c r="H600" s="13"/>
      <c r="I600" s="13"/>
      <c r="J600" s="26"/>
      <c r="K600" s="17">
        <f>K607+K601</f>
        <v>12767.199999999999</v>
      </c>
      <c r="L600" s="17">
        <f>L607+L601</f>
        <v>8498.9</v>
      </c>
      <c r="M600" s="17">
        <f t="shared" si="82"/>
        <v>66.568237358230462</v>
      </c>
    </row>
    <row r="601" spans="1:13" s="12" customFormat="1" x14ac:dyDescent="0.2">
      <c r="A601" s="85"/>
      <c r="B601" s="33" t="s">
        <v>491</v>
      </c>
      <c r="C601" s="42">
        <v>923</v>
      </c>
      <c r="D601" s="26" t="s">
        <v>7</v>
      </c>
      <c r="E601" s="26" t="s">
        <v>5</v>
      </c>
      <c r="F601" s="13"/>
      <c r="G601" s="13"/>
      <c r="H601" s="13"/>
      <c r="I601" s="13"/>
      <c r="J601" s="26"/>
      <c r="K601" s="17">
        <f t="shared" ref="K601:L605" si="83">K602</f>
        <v>0</v>
      </c>
      <c r="L601" s="17">
        <f t="shared" si="83"/>
        <v>0</v>
      </c>
      <c r="M601" s="17"/>
    </row>
    <row r="602" spans="1:13" s="12" customFormat="1" ht="50.45" customHeight="1" x14ac:dyDescent="0.2">
      <c r="A602" s="85"/>
      <c r="B602" s="33" t="s">
        <v>252</v>
      </c>
      <c r="C602" s="42">
        <v>923</v>
      </c>
      <c r="D602" s="26" t="s">
        <v>7</v>
      </c>
      <c r="E602" s="26" t="s">
        <v>5</v>
      </c>
      <c r="F602" s="13" t="s">
        <v>30</v>
      </c>
      <c r="G602" s="13"/>
      <c r="H602" s="13"/>
      <c r="I602" s="13"/>
      <c r="J602" s="26"/>
      <c r="K602" s="17">
        <f t="shared" si="83"/>
        <v>0</v>
      </c>
      <c r="L602" s="17">
        <f t="shared" si="83"/>
        <v>0</v>
      </c>
      <c r="M602" s="17"/>
    </row>
    <row r="603" spans="1:13" s="12" customFormat="1" ht="46.15" customHeight="1" x14ac:dyDescent="0.2">
      <c r="A603" s="85"/>
      <c r="B603" s="33" t="s">
        <v>282</v>
      </c>
      <c r="C603" s="42">
        <v>923</v>
      </c>
      <c r="D603" s="26" t="s">
        <v>7</v>
      </c>
      <c r="E603" s="26" t="s">
        <v>5</v>
      </c>
      <c r="F603" s="13" t="s">
        <v>30</v>
      </c>
      <c r="G603" s="13" t="s">
        <v>126</v>
      </c>
      <c r="H603" s="13"/>
      <c r="I603" s="13"/>
      <c r="J603" s="26"/>
      <c r="K603" s="17">
        <f t="shared" si="83"/>
        <v>0</v>
      </c>
      <c r="L603" s="17">
        <f t="shared" si="83"/>
        <v>0</v>
      </c>
      <c r="M603" s="17"/>
    </row>
    <row r="604" spans="1:13" s="12" customFormat="1" ht="48.6" customHeight="1" x14ac:dyDescent="0.2">
      <c r="A604" s="85"/>
      <c r="B604" s="50" t="s">
        <v>107</v>
      </c>
      <c r="C604" s="42">
        <v>923</v>
      </c>
      <c r="D604" s="26" t="s">
        <v>7</v>
      </c>
      <c r="E604" s="26" t="s">
        <v>5</v>
      </c>
      <c r="F604" s="13" t="s">
        <v>30</v>
      </c>
      <c r="G604" s="25">
        <v>1</v>
      </c>
      <c r="H604" s="13" t="s">
        <v>2</v>
      </c>
      <c r="I604" s="13"/>
      <c r="J604" s="26"/>
      <c r="K604" s="17">
        <f t="shared" si="83"/>
        <v>0</v>
      </c>
      <c r="L604" s="17">
        <f t="shared" si="83"/>
        <v>0</v>
      </c>
      <c r="M604" s="17"/>
    </row>
    <row r="605" spans="1:13" s="12" customFormat="1" ht="51" customHeight="1" x14ac:dyDescent="0.2">
      <c r="A605" s="85"/>
      <c r="B605" s="33" t="s">
        <v>572</v>
      </c>
      <c r="C605" s="42">
        <v>923</v>
      </c>
      <c r="D605" s="26" t="s">
        <v>7</v>
      </c>
      <c r="E605" s="26" t="s">
        <v>5</v>
      </c>
      <c r="F605" s="13" t="s">
        <v>30</v>
      </c>
      <c r="G605" s="25">
        <v>1</v>
      </c>
      <c r="H605" s="13" t="s">
        <v>2</v>
      </c>
      <c r="I605" s="13" t="s">
        <v>517</v>
      </c>
      <c r="J605" s="26"/>
      <c r="K605" s="17">
        <f t="shared" si="83"/>
        <v>0</v>
      </c>
      <c r="L605" s="17">
        <f t="shared" si="83"/>
        <v>0</v>
      </c>
      <c r="M605" s="17"/>
    </row>
    <row r="606" spans="1:13" s="12" customFormat="1" ht="33" customHeight="1" x14ac:dyDescent="0.2">
      <c r="A606" s="85"/>
      <c r="B606" s="33" t="s">
        <v>175</v>
      </c>
      <c r="C606" s="42">
        <v>923</v>
      </c>
      <c r="D606" s="26" t="s">
        <v>7</v>
      </c>
      <c r="E606" s="26" t="s">
        <v>5</v>
      </c>
      <c r="F606" s="13" t="s">
        <v>30</v>
      </c>
      <c r="G606" s="25">
        <v>1</v>
      </c>
      <c r="H606" s="13" t="s">
        <v>2</v>
      </c>
      <c r="I606" s="13" t="s">
        <v>517</v>
      </c>
      <c r="J606" s="26" t="s">
        <v>58</v>
      </c>
      <c r="K606" s="17">
        <v>0</v>
      </c>
      <c r="L606" s="17">
        <v>0</v>
      </c>
      <c r="M606" s="17"/>
    </row>
    <row r="607" spans="1:13" s="12" customFormat="1" ht="31.9" customHeight="1" x14ac:dyDescent="0.2">
      <c r="A607" s="85"/>
      <c r="B607" s="33" t="s">
        <v>221</v>
      </c>
      <c r="C607" s="42">
        <v>923</v>
      </c>
      <c r="D607" s="26" t="s">
        <v>7</v>
      </c>
      <c r="E607" s="26" t="s">
        <v>7</v>
      </c>
      <c r="F607" s="13"/>
      <c r="G607" s="13"/>
      <c r="H607" s="13"/>
      <c r="I607" s="13"/>
      <c r="J607" s="26"/>
      <c r="K607" s="17">
        <f>K608</f>
        <v>12767.199999999999</v>
      </c>
      <c r="L607" s="17">
        <f>L608</f>
        <v>8498.9</v>
      </c>
      <c r="M607" s="17">
        <f t="shared" si="82"/>
        <v>66.568237358230462</v>
      </c>
    </row>
    <row r="608" spans="1:13" s="12" customFormat="1" ht="49.9" customHeight="1" x14ac:dyDescent="0.2">
      <c r="A608" s="85"/>
      <c r="B608" s="50" t="s">
        <v>252</v>
      </c>
      <c r="C608" s="42">
        <v>923</v>
      </c>
      <c r="D608" s="26" t="s">
        <v>7</v>
      </c>
      <c r="E608" s="26" t="s">
        <v>7</v>
      </c>
      <c r="F608" s="13" t="s">
        <v>30</v>
      </c>
      <c r="G608" s="13"/>
      <c r="H608" s="13"/>
      <c r="I608" s="13"/>
      <c r="J608" s="26"/>
      <c r="K608" s="17">
        <f t="shared" ref="K608:L608" si="84">K609</f>
        <v>12767.199999999999</v>
      </c>
      <c r="L608" s="17">
        <f t="shared" si="84"/>
        <v>8498.9</v>
      </c>
      <c r="M608" s="17">
        <f t="shared" si="82"/>
        <v>66.568237358230462</v>
      </c>
    </row>
    <row r="609" spans="1:13" s="12" customFormat="1" ht="48" customHeight="1" x14ac:dyDescent="0.2">
      <c r="A609" s="85"/>
      <c r="B609" s="33" t="s">
        <v>282</v>
      </c>
      <c r="C609" s="42">
        <v>923</v>
      </c>
      <c r="D609" s="26" t="s">
        <v>7</v>
      </c>
      <c r="E609" s="26" t="s">
        <v>7</v>
      </c>
      <c r="F609" s="13" t="s">
        <v>30</v>
      </c>
      <c r="G609" s="13" t="s">
        <v>126</v>
      </c>
      <c r="H609" s="13"/>
      <c r="I609" s="13"/>
      <c r="J609" s="26"/>
      <c r="K609" s="17">
        <f>K617+K610+K626</f>
        <v>12767.199999999999</v>
      </c>
      <c r="L609" s="17">
        <f>L617+L610+L626</f>
        <v>8498.9</v>
      </c>
      <c r="M609" s="17">
        <f t="shared" si="82"/>
        <v>66.568237358230462</v>
      </c>
    </row>
    <row r="610" spans="1:13" s="12" customFormat="1" ht="55.9" customHeight="1" x14ac:dyDescent="0.2">
      <c r="A610" s="85"/>
      <c r="B610" s="50" t="s">
        <v>107</v>
      </c>
      <c r="C610" s="42">
        <v>923</v>
      </c>
      <c r="D610" s="26" t="s">
        <v>7</v>
      </c>
      <c r="E610" s="26" t="s">
        <v>7</v>
      </c>
      <c r="F610" s="13" t="s">
        <v>30</v>
      </c>
      <c r="G610" s="25">
        <v>1</v>
      </c>
      <c r="H610" s="13" t="s">
        <v>2</v>
      </c>
      <c r="I610" s="13"/>
      <c r="J610" s="13"/>
      <c r="K610" s="17">
        <f>SUM(K611+K614)</f>
        <v>2189.3999999999996</v>
      </c>
      <c r="L610" s="17">
        <f>SUM(L611+L614)</f>
        <v>1173.9000000000001</v>
      </c>
      <c r="M610" s="17">
        <f t="shared" si="82"/>
        <v>53.617429432721309</v>
      </c>
    </row>
    <row r="611" spans="1:13" s="12" customFormat="1" ht="64.900000000000006" customHeight="1" x14ac:dyDescent="0.2">
      <c r="A611" s="85"/>
      <c r="B611" s="33" t="s">
        <v>320</v>
      </c>
      <c r="C611" s="42">
        <v>923</v>
      </c>
      <c r="D611" s="26" t="s">
        <v>7</v>
      </c>
      <c r="E611" s="26" t="s">
        <v>7</v>
      </c>
      <c r="F611" s="13" t="s">
        <v>30</v>
      </c>
      <c r="G611" s="13" t="s">
        <v>126</v>
      </c>
      <c r="H611" s="13" t="s">
        <v>2</v>
      </c>
      <c r="I611" s="13" t="s">
        <v>321</v>
      </c>
      <c r="J611" s="26"/>
      <c r="K611" s="17">
        <f>SUM(K612:K613)</f>
        <v>1459.6</v>
      </c>
      <c r="L611" s="17">
        <f>SUM(L612:L613)</f>
        <v>684.80000000000007</v>
      </c>
      <c r="M611" s="17">
        <f t="shared" si="82"/>
        <v>46.916963551658</v>
      </c>
    </row>
    <row r="612" spans="1:13" s="12" customFormat="1" ht="85.15" customHeight="1" x14ac:dyDescent="0.2">
      <c r="A612" s="85"/>
      <c r="B612" s="33" t="s">
        <v>174</v>
      </c>
      <c r="C612" s="42">
        <v>923</v>
      </c>
      <c r="D612" s="26" t="s">
        <v>7</v>
      </c>
      <c r="E612" s="26" t="s">
        <v>7</v>
      </c>
      <c r="F612" s="13" t="s">
        <v>30</v>
      </c>
      <c r="G612" s="13" t="s">
        <v>126</v>
      </c>
      <c r="H612" s="13" t="s">
        <v>2</v>
      </c>
      <c r="I612" s="13" t="s">
        <v>321</v>
      </c>
      <c r="J612" s="26" t="s">
        <v>56</v>
      </c>
      <c r="K612" s="17">
        <v>1297.5999999999999</v>
      </c>
      <c r="L612" s="17">
        <v>655.7</v>
      </c>
      <c r="M612" s="17">
        <f t="shared" si="82"/>
        <v>50.531750924784227</v>
      </c>
    </row>
    <row r="613" spans="1:13" s="12" customFormat="1" ht="39.6" customHeight="1" x14ac:dyDescent="0.2">
      <c r="A613" s="85"/>
      <c r="B613" s="33" t="s">
        <v>175</v>
      </c>
      <c r="C613" s="42">
        <v>923</v>
      </c>
      <c r="D613" s="26" t="s">
        <v>7</v>
      </c>
      <c r="E613" s="26" t="s">
        <v>7</v>
      </c>
      <c r="F613" s="13" t="s">
        <v>30</v>
      </c>
      <c r="G613" s="13" t="s">
        <v>126</v>
      </c>
      <c r="H613" s="13" t="s">
        <v>2</v>
      </c>
      <c r="I613" s="13" t="s">
        <v>321</v>
      </c>
      <c r="J613" s="26" t="s">
        <v>58</v>
      </c>
      <c r="K613" s="17">
        <v>162</v>
      </c>
      <c r="L613" s="17">
        <v>29.1</v>
      </c>
      <c r="M613" s="17">
        <f t="shared" si="82"/>
        <v>17.962962962962965</v>
      </c>
    </row>
    <row r="614" spans="1:13" s="12" customFormat="1" ht="129" customHeight="1" x14ac:dyDescent="0.2">
      <c r="A614" s="85"/>
      <c r="B614" s="51" t="s">
        <v>348</v>
      </c>
      <c r="C614" s="42">
        <v>923</v>
      </c>
      <c r="D614" s="26" t="s">
        <v>7</v>
      </c>
      <c r="E614" s="26" t="s">
        <v>7</v>
      </c>
      <c r="F614" s="13" t="s">
        <v>30</v>
      </c>
      <c r="G614" s="25">
        <v>1</v>
      </c>
      <c r="H614" s="13" t="s">
        <v>2</v>
      </c>
      <c r="I614" s="13" t="s">
        <v>108</v>
      </c>
      <c r="J614" s="13"/>
      <c r="K614" s="17">
        <f>SUM(K615:K616)</f>
        <v>729.8</v>
      </c>
      <c r="L614" s="17">
        <f>SUM(L615:L616)</f>
        <v>489.1</v>
      </c>
      <c r="M614" s="17">
        <f t="shared" si="82"/>
        <v>67.018361194847913</v>
      </c>
    </row>
    <row r="615" spans="1:13" s="12" customFormat="1" ht="78" customHeight="1" x14ac:dyDescent="0.2">
      <c r="A615" s="85"/>
      <c r="B615" s="33" t="s">
        <v>174</v>
      </c>
      <c r="C615" s="42">
        <v>923</v>
      </c>
      <c r="D615" s="26" t="s">
        <v>7</v>
      </c>
      <c r="E615" s="26" t="s">
        <v>7</v>
      </c>
      <c r="F615" s="13" t="s">
        <v>30</v>
      </c>
      <c r="G615" s="25">
        <v>1</v>
      </c>
      <c r="H615" s="13" t="s">
        <v>2</v>
      </c>
      <c r="I615" s="13" t="s">
        <v>108</v>
      </c>
      <c r="J615" s="13" t="s">
        <v>56</v>
      </c>
      <c r="K615" s="17">
        <v>648.79999999999995</v>
      </c>
      <c r="L615" s="17">
        <v>489.1</v>
      </c>
      <c r="M615" s="17">
        <f t="shared" si="82"/>
        <v>75.385326757090027</v>
      </c>
    </row>
    <row r="616" spans="1:13" s="12" customFormat="1" ht="32.450000000000003" customHeight="1" x14ac:dyDescent="0.2">
      <c r="A616" s="85"/>
      <c r="B616" s="33" t="s">
        <v>175</v>
      </c>
      <c r="C616" s="42">
        <v>923</v>
      </c>
      <c r="D616" s="26" t="s">
        <v>7</v>
      </c>
      <c r="E616" s="26" t="s">
        <v>7</v>
      </c>
      <c r="F616" s="13" t="s">
        <v>30</v>
      </c>
      <c r="G616" s="25">
        <v>1</v>
      </c>
      <c r="H616" s="13" t="s">
        <v>2</v>
      </c>
      <c r="I616" s="13" t="s">
        <v>108</v>
      </c>
      <c r="J616" s="13" t="s">
        <v>58</v>
      </c>
      <c r="K616" s="17">
        <v>81</v>
      </c>
      <c r="L616" s="17">
        <v>0</v>
      </c>
      <c r="M616" s="17">
        <f t="shared" si="82"/>
        <v>0</v>
      </c>
    </row>
    <row r="617" spans="1:13" s="12" customFormat="1" ht="22.15" customHeight="1" x14ac:dyDescent="0.2">
      <c r="A617" s="85"/>
      <c r="B617" s="33" t="s">
        <v>222</v>
      </c>
      <c r="C617" s="42">
        <v>923</v>
      </c>
      <c r="D617" s="26" t="s">
        <v>7</v>
      </c>
      <c r="E617" s="26" t="s">
        <v>7</v>
      </c>
      <c r="F617" s="13" t="s">
        <v>30</v>
      </c>
      <c r="G617" s="13" t="s">
        <v>126</v>
      </c>
      <c r="H617" s="13" t="s">
        <v>4</v>
      </c>
      <c r="I617" s="13"/>
      <c r="J617" s="26"/>
      <c r="K617" s="17">
        <f>K618+K621+K624</f>
        <v>8644.7999999999993</v>
      </c>
      <c r="L617" s="17">
        <f>L618+L621+L624</f>
        <v>5887.7999999999993</v>
      </c>
      <c r="M617" s="17">
        <f t="shared" si="82"/>
        <v>68.107995558023319</v>
      </c>
    </row>
    <row r="618" spans="1:13" s="12" customFormat="1" ht="22.9" customHeight="1" x14ac:dyDescent="0.2">
      <c r="A618" s="85"/>
      <c r="B618" s="33" t="s">
        <v>78</v>
      </c>
      <c r="C618" s="42">
        <v>923</v>
      </c>
      <c r="D618" s="26" t="s">
        <v>7</v>
      </c>
      <c r="E618" s="26" t="s">
        <v>7</v>
      </c>
      <c r="F618" s="13" t="s">
        <v>30</v>
      </c>
      <c r="G618" s="13" t="s">
        <v>126</v>
      </c>
      <c r="H618" s="13" t="s">
        <v>4</v>
      </c>
      <c r="I618" s="13" t="s">
        <v>104</v>
      </c>
      <c r="J618" s="26"/>
      <c r="K618" s="17">
        <f>K619+K620</f>
        <v>8230.2999999999993</v>
      </c>
      <c r="L618" s="17">
        <f>L619+L620</f>
        <v>5622.4</v>
      </c>
      <c r="M618" s="17">
        <f t="shared" si="82"/>
        <v>68.313427214074821</v>
      </c>
    </row>
    <row r="619" spans="1:13" s="12" customFormat="1" ht="81.599999999999994" customHeight="1" x14ac:dyDescent="0.2">
      <c r="A619" s="85"/>
      <c r="B619" s="33" t="s">
        <v>174</v>
      </c>
      <c r="C619" s="42">
        <v>923</v>
      </c>
      <c r="D619" s="26" t="s">
        <v>7</v>
      </c>
      <c r="E619" s="26" t="s">
        <v>7</v>
      </c>
      <c r="F619" s="13" t="s">
        <v>30</v>
      </c>
      <c r="G619" s="13" t="s">
        <v>126</v>
      </c>
      <c r="H619" s="13" t="s">
        <v>4</v>
      </c>
      <c r="I619" s="13" t="s">
        <v>104</v>
      </c>
      <c r="J619" s="26" t="s">
        <v>56</v>
      </c>
      <c r="K619" s="17">
        <f>8009.9+79.8+0.1-37.6</f>
        <v>8052.2</v>
      </c>
      <c r="L619" s="17">
        <v>5537</v>
      </c>
      <c r="M619" s="17">
        <f t="shared" si="82"/>
        <v>68.763816099947832</v>
      </c>
    </row>
    <row r="620" spans="1:13" s="12" customFormat="1" ht="36" customHeight="1" x14ac:dyDescent="0.2">
      <c r="A620" s="85"/>
      <c r="B620" s="33" t="s">
        <v>175</v>
      </c>
      <c r="C620" s="42">
        <v>923</v>
      </c>
      <c r="D620" s="26" t="s">
        <v>7</v>
      </c>
      <c r="E620" s="26" t="s">
        <v>7</v>
      </c>
      <c r="F620" s="13" t="s">
        <v>30</v>
      </c>
      <c r="G620" s="13" t="s">
        <v>126</v>
      </c>
      <c r="H620" s="13" t="s">
        <v>4</v>
      </c>
      <c r="I620" s="13" t="s">
        <v>104</v>
      </c>
      <c r="J620" s="26" t="s">
        <v>58</v>
      </c>
      <c r="K620" s="17">
        <f>8150.4-8009.9+37.6</f>
        <v>178.1</v>
      </c>
      <c r="L620" s="17">
        <v>85.4</v>
      </c>
      <c r="M620" s="17">
        <f t="shared" si="82"/>
        <v>47.95058955642898</v>
      </c>
    </row>
    <row r="621" spans="1:13" s="12" customFormat="1" ht="62.45" customHeight="1" x14ac:dyDescent="0.2">
      <c r="A621" s="85"/>
      <c r="B621" s="33" t="s">
        <v>241</v>
      </c>
      <c r="C621" s="42">
        <v>923</v>
      </c>
      <c r="D621" s="26" t="s">
        <v>7</v>
      </c>
      <c r="E621" s="26" t="s">
        <v>7</v>
      </c>
      <c r="F621" s="13" t="s">
        <v>30</v>
      </c>
      <c r="G621" s="13" t="s">
        <v>126</v>
      </c>
      <c r="H621" s="13" t="s">
        <v>4</v>
      </c>
      <c r="I621" s="13" t="s">
        <v>242</v>
      </c>
      <c r="J621" s="26"/>
      <c r="K621" s="17">
        <f>SUM(K622:K623)</f>
        <v>379.5</v>
      </c>
      <c r="L621" s="17">
        <f>SUM(L622:L623)</f>
        <v>265.39999999999998</v>
      </c>
      <c r="M621" s="17">
        <f t="shared" si="82"/>
        <v>69.934123847167314</v>
      </c>
    </row>
    <row r="622" spans="1:13" s="12" customFormat="1" ht="82.15" customHeight="1" x14ac:dyDescent="0.2">
      <c r="A622" s="85"/>
      <c r="B622" s="56" t="s">
        <v>174</v>
      </c>
      <c r="C622" s="42">
        <v>923</v>
      </c>
      <c r="D622" s="26" t="s">
        <v>7</v>
      </c>
      <c r="E622" s="26" t="s">
        <v>7</v>
      </c>
      <c r="F622" s="13" t="s">
        <v>30</v>
      </c>
      <c r="G622" s="13" t="s">
        <v>126</v>
      </c>
      <c r="H622" s="13" t="s">
        <v>4</v>
      </c>
      <c r="I622" s="13" t="s">
        <v>242</v>
      </c>
      <c r="J622" s="26" t="s">
        <v>56</v>
      </c>
      <c r="K622" s="17">
        <v>333.4</v>
      </c>
      <c r="L622" s="17">
        <v>235.4</v>
      </c>
      <c r="M622" s="17">
        <f t="shared" si="82"/>
        <v>70.605878824235162</v>
      </c>
    </row>
    <row r="623" spans="1:13" s="12" customFormat="1" ht="31.5" x14ac:dyDescent="0.2">
      <c r="A623" s="85"/>
      <c r="B623" s="56" t="s">
        <v>175</v>
      </c>
      <c r="C623" s="42">
        <v>923</v>
      </c>
      <c r="D623" s="26" t="s">
        <v>7</v>
      </c>
      <c r="E623" s="26" t="s">
        <v>7</v>
      </c>
      <c r="F623" s="13" t="s">
        <v>30</v>
      </c>
      <c r="G623" s="13" t="s">
        <v>126</v>
      </c>
      <c r="H623" s="13" t="s">
        <v>4</v>
      </c>
      <c r="I623" s="13" t="s">
        <v>242</v>
      </c>
      <c r="J623" s="26" t="s">
        <v>58</v>
      </c>
      <c r="K623" s="17">
        <v>46.1</v>
      </c>
      <c r="L623" s="17">
        <v>30</v>
      </c>
      <c r="M623" s="17">
        <f t="shared" si="82"/>
        <v>65.075921908893704</v>
      </c>
    </row>
    <row r="624" spans="1:13" s="12" customFormat="1" ht="34.15" customHeight="1" x14ac:dyDescent="0.2">
      <c r="A624" s="85"/>
      <c r="B624" s="56" t="s">
        <v>456</v>
      </c>
      <c r="C624" s="42">
        <v>923</v>
      </c>
      <c r="D624" s="13" t="s">
        <v>7</v>
      </c>
      <c r="E624" s="13" t="s">
        <v>7</v>
      </c>
      <c r="F624" s="13" t="s">
        <v>30</v>
      </c>
      <c r="G624" s="25">
        <v>1</v>
      </c>
      <c r="H624" s="13" t="s">
        <v>4</v>
      </c>
      <c r="I624" s="13" t="s">
        <v>455</v>
      </c>
      <c r="J624" s="13"/>
      <c r="K624" s="17">
        <f t="shared" ref="K624:L634" si="85">SUM(K625)</f>
        <v>35</v>
      </c>
      <c r="L624" s="17">
        <f t="shared" si="85"/>
        <v>0</v>
      </c>
      <c r="M624" s="17">
        <f t="shared" si="82"/>
        <v>0</v>
      </c>
    </row>
    <row r="625" spans="1:13" s="12" customFormat="1" ht="37.9" customHeight="1" x14ac:dyDescent="0.2">
      <c r="A625" s="85"/>
      <c r="B625" s="56" t="s">
        <v>175</v>
      </c>
      <c r="C625" s="42">
        <v>923</v>
      </c>
      <c r="D625" s="13" t="s">
        <v>7</v>
      </c>
      <c r="E625" s="13" t="s">
        <v>7</v>
      </c>
      <c r="F625" s="13" t="s">
        <v>30</v>
      </c>
      <c r="G625" s="25">
        <v>1</v>
      </c>
      <c r="H625" s="13" t="s">
        <v>4</v>
      </c>
      <c r="I625" s="13" t="s">
        <v>455</v>
      </c>
      <c r="J625" s="13" t="s">
        <v>58</v>
      </c>
      <c r="K625" s="17">
        <v>35</v>
      </c>
      <c r="L625" s="17">
        <v>0</v>
      </c>
      <c r="M625" s="17">
        <f t="shared" si="82"/>
        <v>0</v>
      </c>
    </row>
    <row r="626" spans="1:13" s="12" customFormat="1" ht="34.9" customHeight="1" x14ac:dyDescent="0.2">
      <c r="A626" s="85"/>
      <c r="B626" s="56" t="s">
        <v>225</v>
      </c>
      <c r="C626" s="42">
        <v>923</v>
      </c>
      <c r="D626" s="26" t="s">
        <v>7</v>
      </c>
      <c r="E626" s="26" t="s">
        <v>7</v>
      </c>
      <c r="F626" s="13" t="s">
        <v>30</v>
      </c>
      <c r="G626" s="13" t="s">
        <v>126</v>
      </c>
      <c r="H626" s="13" t="s">
        <v>5</v>
      </c>
      <c r="I626" s="13"/>
      <c r="J626" s="26"/>
      <c r="K626" s="17">
        <f t="shared" ref="K626:L627" si="86">SUM(K627)</f>
        <v>1933</v>
      </c>
      <c r="L626" s="17">
        <f t="shared" si="86"/>
        <v>1437.2</v>
      </c>
      <c r="M626" s="17">
        <f t="shared" si="82"/>
        <v>74.350750129332638</v>
      </c>
    </row>
    <row r="627" spans="1:13" s="12" customFormat="1" ht="67.150000000000006" customHeight="1" x14ac:dyDescent="0.2">
      <c r="A627" s="85"/>
      <c r="B627" s="60" t="s">
        <v>88</v>
      </c>
      <c r="C627" s="42">
        <v>923</v>
      </c>
      <c r="D627" s="26" t="s">
        <v>7</v>
      </c>
      <c r="E627" s="26" t="s">
        <v>7</v>
      </c>
      <c r="F627" s="13" t="s">
        <v>30</v>
      </c>
      <c r="G627" s="13" t="s">
        <v>126</v>
      </c>
      <c r="H627" s="13" t="s">
        <v>5</v>
      </c>
      <c r="I627" s="13" t="s">
        <v>116</v>
      </c>
      <c r="J627" s="26"/>
      <c r="K627" s="17">
        <f t="shared" si="86"/>
        <v>1933</v>
      </c>
      <c r="L627" s="17">
        <f t="shared" si="86"/>
        <v>1437.2</v>
      </c>
      <c r="M627" s="17">
        <f t="shared" si="82"/>
        <v>74.350750129332638</v>
      </c>
    </row>
    <row r="628" spans="1:13" s="12" customFormat="1" ht="40.9" customHeight="1" x14ac:dyDescent="0.2">
      <c r="A628" s="85"/>
      <c r="B628" s="63" t="s">
        <v>173</v>
      </c>
      <c r="C628" s="42">
        <v>923</v>
      </c>
      <c r="D628" s="26" t="s">
        <v>7</v>
      </c>
      <c r="E628" s="26" t="s">
        <v>7</v>
      </c>
      <c r="F628" s="13" t="s">
        <v>30</v>
      </c>
      <c r="G628" s="13" t="s">
        <v>126</v>
      </c>
      <c r="H628" s="13" t="s">
        <v>5</v>
      </c>
      <c r="I628" s="13" t="s">
        <v>116</v>
      </c>
      <c r="J628" s="26" t="s">
        <v>77</v>
      </c>
      <c r="K628" s="17">
        <f>1916.2+16.8</f>
        <v>1933</v>
      </c>
      <c r="L628" s="17">
        <v>1437.2</v>
      </c>
      <c r="M628" s="17">
        <f t="shared" si="82"/>
        <v>74.350750129332638</v>
      </c>
    </row>
    <row r="629" spans="1:13" s="12" customFormat="1" ht="25.15" customHeight="1" x14ac:dyDescent="0.2">
      <c r="A629" s="85"/>
      <c r="B629" s="56" t="s">
        <v>18</v>
      </c>
      <c r="C629" s="42">
        <v>923</v>
      </c>
      <c r="D629" s="13" t="s">
        <v>8</v>
      </c>
      <c r="E629" s="13"/>
      <c r="F629" s="13"/>
      <c r="G629" s="13"/>
      <c r="H629" s="13"/>
      <c r="I629" s="13"/>
      <c r="J629" s="13"/>
      <c r="K629" s="17">
        <f t="shared" si="85"/>
        <v>12</v>
      </c>
      <c r="L629" s="17">
        <f t="shared" si="85"/>
        <v>0</v>
      </c>
      <c r="M629" s="17">
        <f t="shared" si="82"/>
        <v>0</v>
      </c>
    </row>
    <row r="630" spans="1:13" s="12" customFormat="1" ht="34.15" customHeight="1" x14ac:dyDescent="0.2">
      <c r="A630" s="85"/>
      <c r="B630" s="56" t="s">
        <v>457</v>
      </c>
      <c r="C630" s="42">
        <v>923</v>
      </c>
      <c r="D630" s="13" t="s">
        <v>8</v>
      </c>
      <c r="E630" s="13" t="s">
        <v>7</v>
      </c>
      <c r="F630" s="13"/>
      <c r="G630" s="13"/>
      <c r="H630" s="13"/>
      <c r="I630" s="13"/>
      <c r="J630" s="26"/>
      <c r="K630" s="17">
        <f>SUM(K631)</f>
        <v>12</v>
      </c>
      <c r="L630" s="17">
        <f>SUM(L631)</f>
        <v>0</v>
      </c>
      <c r="M630" s="17">
        <f t="shared" si="82"/>
        <v>0</v>
      </c>
    </row>
    <row r="631" spans="1:13" s="12" customFormat="1" ht="51" customHeight="1" x14ac:dyDescent="0.2">
      <c r="A631" s="85"/>
      <c r="B631" s="60" t="s">
        <v>252</v>
      </c>
      <c r="C631" s="42">
        <v>923</v>
      </c>
      <c r="D631" s="13" t="s">
        <v>8</v>
      </c>
      <c r="E631" s="13" t="s">
        <v>7</v>
      </c>
      <c r="F631" s="13" t="s">
        <v>30</v>
      </c>
      <c r="G631" s="13"/>
      <c r="H631" s="13"/>
      <c r="I631" s="13"/>
      <c r="J631" s="26"/>
      <c r="K631" s="17">
        <f t="shared" si="85"/>
        <v>12</v>
      </c>
      <c r="L631" s="17">
        <f t="shared" si="85"/>
        <v>0</v>
      </c>
      <c r="M631" s="17">
        <f t="shared" si="82"/>
        <v>0</v>
      </c>
    </row>
    <row r="632" spans="1:13" s="12" customFormat="1" ht="57.6" customHeight="1" x14ac:dyDescent="0.2">
      <c r="A632" s="85"/>
      <c r="B632" s="56" t="s">
        <v>282</v>
      </c>
      <c r="C632" s="42">
        <v>923</v>
      </c>
      <c r="D632" s="13" t="s">
        <v>8</v>
      </c>
      <c r="E632" s="13" t="s">
        <v>7</v>
      </c>
      <c r="F632" s="13" t="s">
        <v>30</v>
      </c>
      <c r="G632" s="13" t="s">
        <v>126</v>
      </c>
      <c r="H632" s="13"/>
      <c r="I632" s="13"/>
      <c r="J632" s="26"/>
      <c r="K632" s="17">
        <f t="shared" si="85"/>
        <v>12</v>
      </c>
      <c r="L632" s="17">
        <f t="shared" si="85"/>
        <v>0</v>
      </c>
      <c r="M632" s="17">
        <f t="shared" si="82"/>
        <v>0</v>
      </c>
    </row>
    <row r="633" spans="1:13" s="12" customFormat="1" ht="27" customHeight="1" x14ac:dyDescent="0.2">
      <c r="A633" s="85"/>
      <c r="B633" s="56" t="s">
        <v>222</v>
      </c>
      <c r="C633" s="42">
        <v>923</v>
      </c>
      <c r="D633" s="13" t="s">
        <v>8</v>
      </c>
      <c r="E633" s="13" t="s">
        <v>7</v>
      </c>
      <c r="F633" s="13" t="s">
        <v>30</v>
      </c>
      <c r="G633" s="13" t="s">
        <v>126</v>
      </c>
      <c r="H633" s="13" t="s">
        <v>4</v>
      </c>
      <c r="I633" s="13"/>
      <c r="J633" s="26"/>
      <c r="K633" s="17">
        <f t="shared" si="85"/>
        <v>12</v>
      </c>
      <c r="L633" s="17">
        <f t="shared" si="85"/>
        <v>0</v>
      </c>
      <c r="M633" s="17">
        <f t="shared" si="82"/>
        <v>0</v>
      </c>
    </row>
    <row r="634" spans="1:13" s="12" customFormat="1" ht="31.15" customHeight="1" x14ac:dyDescent="0.2">
      <c r="A634" s="85"/>
      <c r="B634" s="56" t="s">
        <v>459</v>
      </c>
      <c r="C634" s="42">
        <v>923</v>
      </c>
      <c r="D634" s="13" t="s">
        <v>8</v>
      </c>
      <c r="E634" s="13" t="s">
        <v>7</v>
      </c>
      <c r="F634" s="13" t="s">
        <v>30</v>
      </c>
      <c r="G634" s="13" t="s">
        <v>126</v>
      </c>
      <c r="H634" s="13" t="s">
        <v>4</v>
      </c>
      <c r="I634" s="13" t="s">
        <v>458</v>
      </c>
      <c r="J634" s="26"/>
      <c r="K634" s="17">
        <f t="shared" si="85"/>
        <v>12</v>
      </c>
      <c r="L634" s="17">
        <f t="shared" si="85"/>
        <v>0</v>
      </c>
      <c r="M634" s="17">
        <f t="shared" si="82"/>
        <v>0</v>
      </c>
    </row>
    <row r="635" spans="1:13" s="12" customFormat="1" ht="33" customHeight="1" x14ac:dyDescent="0.2">
      <c r="A635" s="85"/>
      <c r="B635" s="56" t="s">
        <v>175</v>
      </c>
      <c r="C635" s="42">
        <v>923</v>
      </c>
      <c r="D635" s="13" t="s">
        <v>8</v>
      </c>
      <c r="E635" s="13" t="s">
        <v>7</v>
      </c>
      <c r="F635" s="13" t="s">
        <v>30</v>
      </c>
      <c r="G635" s="13" t="s">
        <v>126</v>
      </c>
      <c r="H635" s="13" t="s">
        <v>4</v>
      </c>
      <c r="I635" s="13" t="s">
        <v>458</v>
      </c>
      <c r="J635" s="26" t="s">
        <v>58</v>
      </c>
      <c r="K635" s="17">
        <v>12</v>
      </c>
      <c r="L635" s="17">
        <v>0</v>
      </c>
      <c r="M635" s="17">
        <f t="shared" si="82"/>
        <v>0</v>
      </c>
    </row>
    <row r="636" spans="1:13" s="12" customFormat="1" ht="33.6" customHeight="1" x14ac:dyDescent="0.2">
      <c r="A636" s="85"/>
      <c r="B636" s="56" t="s">
        <v>182</v>
      </c>
      <c r="C636" s="42">
        <v>923</v>
      </c>
      <c r="D636" s="26" t="s">
        <v>10</v>
      </c>
      <c r="E636" s="13"/>
      <c r="F636" s="13"/>
      <c r="G636" s="13"/>
      <c r="H636" s="13"/>
      <c r="I636" s="13"/>
      <c r="J636" s="26"/>
      <c r="K636" s="17">
        <f>SUM(K637)</f>
        <v>14092.400000000001</v>
      </c>
      <c r="L636" s="17">
        <f>SUM(L637)</f>
        <v>10003.6</v>
      </c>
      <c r="M636" s="17">
        <f t="shared" si="82"/>
        <v>70.985779569129463</v>
      </c>
    </row>
    <row r="637" spans="1:13" s="12" customFormat="1" ht="19.149999999999999" customHeight="1" x14ac:dyDescent="0.2">
      <c r="A637" s="85"/>
      <c r="B637" s="56" t="s">
        <v>499</v>
      </c>
      <c r="C637" s="42">
        <v>923</v>
      </c>
      <c r="D637" s="26" t="s">
        <v>10</v>
      </c>
      <c r="E637" s="26" t="s">
        <v>5</v>
      </c>
      <c r="F637" s="13"/>
      <c r="G637" s="13"/>
      <c r="H637" s="13"/>
      <c r="I637" s="13"/>
      <c r="J637" s="26"/>
      <c r="K637" s="17">
        <f t="shared" ref="K637:L641" si="87">SUM(K638)</f>
        <v>14092.400000000001</v>
      </c>
      <c r="L637" s="17">
        <f t="shared" si="87"/>
        <v>10003.6</v>
      </c>
      <c r="M637" s="17">
        <f t="shared" si="82"/>
        <v>70.985779569129463</v>
      </c>
    </row>
    <row r="638" spans="1:13" s="12" customFormat="1" ht="48.6" customHeight="1" x14ac:dyDescent="0.2">
      <c r="A638" s="85"/>
      <c r="B638" s="60" t="s">
        <v>252</v>
      </c>
      <c r="C638" s="42">
        <v>923</v>
      </c>
      <c r="D638" s="26" t="s">
        <v>10</v>
      </c>
      <c r="E638" s="26" t="s">
        <v>5</v>
      </c>
      <c r="F638" s="13" t="s">
        <v>30</v>
      </c>
      <c r="G638" s="13"/>
      <c r="H638" s="13"/>
      <c r="I638" s="13"/>
      <c r="J638" s="26"/>
      <c r="K638" s="17">
        <f t="shared" si="87"/>
        <v>14092.400000000001</v>
      </c>
      <c r="L638" s="17">
        <f t="shared" si="87"/>
        <v>10003.6</v>
      </c>
      <c r="M638" s="17">
        <f t="shared" si="82"/>
        <v>70.985779569129463</v>
      </c>
    </row>
    <row r="639" spans="1:13" s="12" customFormat="1" ht="49.9" customHeight="1" x14ac:dyDescent="0.2">
      <c r="A639" s="85"/>
      <c r="B639" s="56" t="s">
        <v>282</v>
      </c>
      <c r="C639" s="42">
        <v>923</v>
      </c>
      <c r="D639" s="26" t="s">
        <v>10</v>
      </c>
      <c r="E639" s="26" t="s">
        <v>5</v>
      </c>
      <c r="F639" s="13" t="s">
        <v>30</v>
      </c>
      <c r="G639" s="13" t="s">
        <v>126</v>
      </c>
      <c r="H639" s="13"/>
      <c r="I639" s="13"/>
      <c r="J639" s="26"/>
      <c r="K639" s="17">
        <f t="shared" si="87"/>
        <v>14092.400000000001</v>
      </c>
      <c r="L639" s="17">
        <f t="shared" si="87"/>
        <v>10003.6</v>
      </c>
      <c r="M639" s="17">
        <f t="shared" si="82"/>
        <v>70.985779569129463</v>
      </c>
    </row>
    <row r="640" spans="1:13" s="12" customFormat="1" ht="31.9" customHeight="1" x14ac:dyDescent="0.2">
      <c r="A640" s="85"/>
      <c r="B640" s="63" t="s">
        <v>500</v>
      </c>
      <c r="C640" s="42">
        <v>923</v>
      </c>
      <c r="D640" s="26" t="s">
        <v>10</v>
      </c>
      <c r="E640" s="26" t="s">
        <v>5</v>
      </c>
      <c r="F640" s="13" t="s">
        <v>30</v>
      </c>
      <c r="G640" s="13" t="s">
        <v>126</v>
      </c>
      <c r="H640" s="13" t="s">
        <v>6</v>
      </c>
      <c r="I640" s="13"/>
      <c r="J640" s="26"/>
      <c r="K640" s="17">
        <f t="shared" si="87"/>
        <v>14092.400000000001</v>
      </c>
      <c r="L640" s="17">
        <f t="shared" si="87"/>
        <v>10003.6</v>
      </c>
      <c r="M640" s="17">
        <f t="shared" si="82"/>
        <v>70.985779569129463</v>
      </c>
    </row>
    <row r="641" spans="1:13" s="12" customFormat="1" ht="30.6" customHeight="1" x14ac:dyDescent="0.2">
      <c r="A641" s="85"/>
      <c r="B641" s="63" t="s">
        <v>501</v>
      </c>
      <c r="C641" s="42">
        <v>923</v>
      </c>
      <c r="D641" s="26" t="s">
        <v>10</v>
      </c>
      <c r="E641" s="26" t="s">
        <v>5</v>
      </c>
      <c r="F641" s="13" t="s">
        <v>30</v>
      </c>
      <c r="G641" s="13" t="s">
        <v>126</v>
      </c>
      <c r="H641" s="13" t="s">
        <v>6</v>
      </c>
      <c r="I641" s="13" t="s">
        <v>502</v>
      </c>
      <c r="J641" s="26"/>
      <c r="K641" s="17">
        <f t="shared" si="87"/>
        <v>14092.400000000001</v>
      </c>
      <c r="L641" s="17">
        <f t="shared" si="87"/>
        <v>10003.6</v>
      </c>
      <c r="M641" s="17">
        <f t="shared" si="82"/>
        <v>70.985779569129463</v>
      </c>
    </row>
    <row r="642" spans="1:13" s="12" customFormat="1" ht="18" customHeight="1" x14ac:dyDescent="0.2">
      <c r="A642" s="85"/>
      <c r="B642" s="63" t="s">
        <v>22</v>
      </c>
      <c r="C642" s="42">
        <v>923</v>
      </c>
      <c r="D642" s="26" t="s">
        <v>10</v>
      </c>
      <c r="E642" s="26" t="s">
        <v>5</v>
      </c>
      <c r="F642" s="13" t="s">
        <v>30</v>
      </c>
      <c r="G642" s="13" t="s">
        <v>126</v>
      </c>
      <c r="H642" s="13" t="s">
        <v>6</v>
      </c>
      <c r="I642" s="13" t="s">
        <v>502</v>
      </c>
      <c r="J642" s="26" t="s">
        <v>73</v>
      </c>
      <c r="K642" s="17">
        <f>10003.6+4088.8</f>
        <v>14092.400000000001</v>
      </c>
      <c r="L642" s="17">
        <v>10003.6</v>
      </c>
      <c r="M642" s="17">
        <f t="shared" si="82"/>
        <v>70.985779569129463</v>
      </c>
    </row>
    <row r="643" spans="1:13" s="12" customFormat="1" ht="32.25" customHeight="1" x14ac:dyDescent="0.2">
      <c r="A643" s="91">
        <v>9</v>
      </c>
      <c r="B643" s="33" t="s">
        <v>187</v>
      </c>
      <c r="C643" s="42">
        <v>925</v>
      </c>
      <c r="D643" s="26"/>
      <c r="E643" s="26"/>
      <c r="F643" s="26"/>
      <c r="G643" s="42"/>
      <c r="H643" s="26"/>
      <c r="I643" s="26"/>
      <c r="J643" s="26"/>
      <c r="K643" s="17">
        <f>SUM(K644+K650+K665+K932+K658)</f>
        <v>2215391.7999999998</v>
      </c>
      <c r="L643" s="17">
        <f>SUM(L644+L650+L665+L932+L658)</f>
        <v>1660524.4</v>
      </c>
      <c r="M643" s="17">
        <f t="shared" si="82"/>
        <v>74.953983308956907</v>
      </c>
    </row>
    <row r="644" spans="1:13" s="12" customFormat="1" ht="16.899999999999999" customHeight="1" x14ac:dyDescent="0.2">
      <c r="A644" s="85"/>
      <c r="B644" s="33" t="s">
        <v>1</v>
      </c>
      <c r="C644" s="42">
        <v>925</v>
      </c>
      <c r="D644" s="26" t="s">
        <v>2</v>
      </c>
      <c r="E644" s="26"/>
      <c r="F644" s="26"/>
      <c r="G644" s="42"/>
      <c r="H644" s="26"/>
      <c r="I644" s="26"/>
      <c r="J644" s="26"/>
      <c r="K644" s="17">
        <f t="shared" ref="K644:L648" si="88">K645</f>
        <v>121</v>
      </c>
      <c r="L644" s="17">
        <f t="shared" si="88"/>
        <v>121</v>
      </c>
      <c r="M644" s="17">
        <f t="shared" si="82"/>
        <v>100</v>
      </c>
    </row>
    <row r="645" spans="1:13" s="12" customFormat="1" ht="20.45" customHeight="1" x14ac:dyDescent="0.2">
      <c r="A645" s="85"/>
      <c r="B645" s="33" t="s">
        <v>9</v>
      </c>
      <c r="C645" s="42">
        <v>925</v>
      </c>
      <c r="D645" s="26" t="s">
        <v>2</v>
      </c>
      <c r="E645" s="26" t="s">
        <v>41</v>
      </c>
      <c r="F645" s="26"/>
      <c r="G645" s="42"/>
      <c r="H645" s="26"/>
      <c r="I645" s="26"/>
      <c r="J645" s="26"/>
      <c r="K645" s="17">
        <f t="shared" si="88"/>
        <v>121</v>
      </c>
      <c r="L645" s="17">
        <f t="shared" si="88"/>
        <v>121</v>
      </c>
      <c r="M645" s="17">
        <f t="shared" si="82"/>
        <v>100</v>
      </c>
    </row>
    <row r="646" spans="1:13" s="12" customFormat="1" ht="16.5" customHeight="1" x14ac:dyDescent="0.2">
      <c r="A646" s="85"/>
      <c r="B646" s="33" t="s">
        <v>89</v>
      </c>
      <c r="C646" s="42">
        <v>925</v>
      </c>
      <c r="D646" s="13" t="s">
        <v>2</v>
      </c>
      <c r="E646" s="13" t="s">
        <v>41</v>
      </c>
      <c r="F646" s="13" t="s">
        <v>109</v>
      </c>
      <c r="G646" s="42"/>
      <c r="H646" s="26"/>
      <c r="I646" s="26"/>
      <c r="J646" s="26"/>
      <c r="K646" s="17">
        <f t="shared" si="88"/>
        <v>121</v>
      </c>
      <c r="L646" s="17">
        <f t="shared" si="88"/>
        <v>121</v>
      </c>
      <c r="M646" s="17">
        <f t="shared" si="82"/>
        <v>100</v>
      </c>
    </row>
    <row r="647" spans="1:13" s="12" customFormat="1" ht="30" customHeight="1" x14ac:dyDescent="0.2">
      <c r="A647" s="85"/>
      <c r="B647" s="33" t="s">
        <v>368</v>
      </c>
      <c r="C647" s="42">
        <v>925</v>
      </c>
      <c r="D647" s="13" t="s">
        <v>2</v>
      </c>
      <c r="E647" s="13" t="s">
        <v>41</v>
      </c>
      <c r="F647" s="13" t="s">
        <v>109</v>
      </c>
      <c r="G647" s="13" t="s">
        <v>133</v>
      </c>
      <c r="H647" s="13"/>
      <c r="I647" s="13"/>
      <c r="J647" s="13"/>
      <c r="K647" s="17">
        <f t="shared" si="88"/>
        <v>121</v>
      </c>
      <c r="L647" s="17">
        <f t="shared" si="88"/>
        <v>121</v>
      </c>
      <c r="M647" s="17">
        <f t="shared" si="82"/>
        <v>100</v>
      </c>
    </row>
    <row r="648" spans="1:13" s="12" customFormat="1" ht="31.15" customHeight="1" x14ac:dyDescent="0.2">
      <c r="A648" s="85"/>
      <c r="B648" s="33" t="s">
        <v>368</v>
      </c>
      <c r="C648" s="42">
        <v>925</v>
      </c>
      <c r="D648" s="13" t="s">
        <v>2</v>
      </c>
      <c r="E648" s="13" t="s">
        <v>41</v>
      </c>
      <c r="F648" s="13" t="s">
        <v>109</v>
      </c>
      <c r="G648" s="13" t="s">
        <v>133</v>
      </c>
      <c r="H648" s="13" t="s">
        <v>102</v>
      </c>
      <c r="I648" s="13" t="s">
        <v>367</v>
      </c>
      <c r="J648" s="13"/>
      <c r="K648" s="17">
        <f t="shared" si="88"/>
        <v>121</v>
      </c>
      <c r="L648" s="17">
        <f t="shared" si="88"/>
        <v>121</v>
      </c>
      <c r="M648" s="17">
        <f t="shared" si="82"/>
        <v>100</v>
      </c>
    </row>
    <row r="649" spans="1:13" s="12" customFormat="1" ht="33" customHeight="1" x14ac:dyDescent="0.2">
      <c r="A649" s="85"/>
      <c r="B649" s="33" t="s">
        <v>76</v>
      </c>
      <c r="C649" s="42">
        <v>925</v>
      </c>
      <c r="D649" s="13" t="s">
        <v>2</v>
      </c>
      <c r="E649" s="13" t="s">
        <v>41</v>
      </c>
      <c r="F649" s="13" t="s">
        <v>109</v>
      </c>
      <c r="G649" s="13" t="s">
        <v>133</v>
      </c>
      <c r="H649" s="13" t="s">
        <v>102</v>
      </c>
      <c r="I649" s="13" t="s">
        <v>367</v>
      </c>
      <c r="J649" s="13" t="s">
        <v>77</v>
      </c>
      <c r="K649" s="17">
        <f>52.1+53.9+15</f>
        <v>121</v>
      </c>
      <c r="L649" s="17">
        <v>121</v>
      </c>
      <c r="M649" s="17">
        <f t="shared" si="82"/>
        <v>100</v>
      </c>
    </row>
    <row r="650" spans="1:13" s="12" customFormat="1" ht="33.6" customHeight="1" x14ac:dyDescent="0.2">
      <c r="A650" s="85"/>
      <c r="B650" s="33" t="s">
        <v>14</v>
      </c>
      <c r="C650" s="42">
        <v>925</v>
      </c>
      <c r="D650" s="26" t="s">
        <v>5</v>
      </c>
      <c r="E650" s="26"/>
      <c r="F650" s="26"/>
      <c r="G650" s="42"/>
      <c r="H650" s="26"/>
      <c r="I650" s="26"/>
      <c r="J650" s="26"/>
      <c r="K650" s="17">
        <f>SUM(K651)</f>
        <v>156.5</v>
      </c>
      <c r="L650" s="17">
        <f>SUM(L651)</f>
        <v>15</v>
      </c>
      <c r="M650" s="17">
        <f t="shared" si="82"/>
        <v>9.5846645367412133</v>
      </c>
    </row>
    <row r="651" spans="1:13" s="12" customFormat="1" ht="34.9" customHeight="1" x14ac:dyDescent="0.2">
      <c r="A651" s="85"/>
      <c r="B651" s="33" t="s">
        <v>190</v>
      </c>
      <c r="C651" s="42">
        <v>925</v>
      </c>
      <c r="D651" s="26" t="s">
        <v>5</v>
      </c>
      <c r="E651" s="13" t="s">
        <v>10</v>
      </c>
      <c r="F651" s="13"/>
      <c r="G651" s="25"/>
      <c r="H651" s="13"/>
      <c r="I651" s="13"/>
      <c r="J651" s="26"/>
      <c r="K651" s="17">
        <f t="shared" ref="K651:L651" si="89">K652</f>
        <v>156.5</v>
      </c>
      <c r="L651" s="17">
        <f t="shared" si="89"/>
        <v>15</v>
      </c>
      <c r="M651" s="17">
        <f t="shared" si="82"/>
        <v>9.5846645367412133</v>
      </c>
    </row>
    <row r="652" spans="1:13" s="12" customFormat="1" ht="36" customHeight="1" x14ac:dyDescent="0.2">
      <c r="A652" s="85"/>
      <c r="B652" s="54" t="s">
        <v>258</v>
      </c>
      <c r="C652" s="42">
        <v>925</v>
      </c>
      <c r="D652" s="13" t="s">
        <v>5</v>
      </c>
      <c r="E652" s="13" t="s">
        <v>10</v>
      </c>
      <c r="F652" s="13" t="s">
        <v>111</v>
      </c>
      <c r="G652" s="13"/>
      <c r="H652" s="13"/>
      <c r="I652" s="13"/>
      <c r="J652" s="26"/>
      <c r="K652" s="17">
        <f>K653</f>
        <v>156.5</v>
      </c>
      <c r="L652" s="17">
        <f>L653</f>
        <v>15</v>
      </c>
      <c r="M652" s="17">
        <f t="shared" si="82"/>
        <v>9.5846645367412133</v>
      </c>
    </row>
    <row r="653" spans="1:13" s="12" customFormat="1" ht="51" customHeight="1" x14ac:dyDescent="0.2">
      <c r="A653" s="85"/>
      <c r="B653" s="54" t="s">
        <v>259</v>
      </c>
      <c r="C653" s="42">
        <v>925</v>
      </c>
      <c r="D653" s="13" t="s">
        <v>5</v>
      </c>
      <c r="E653" s="13" t="s">
        <v>10</v>
      </c>
      <c r="F653" s="13" t="s">
        <v>111</v>
      </c>
      <c r="G653" s="13" t="s">
        <v>166</v>
      </c>
      <c r="H653" s="13"/>
      <c r="I653" s="13"/>
      <c r="J653" s="26"/>
      <c r="K653" s="17">
        <f>SUM(K654)</f>
        <v>156.5</v>
      </c>
      <c r="L653" s="17">
        <f>SUM(L654)</f>
        <v>15</v>
      </c>
      <c r="M653" s="17">
        <f t="shared" si="82"/>
        <v>9.5846645367412133</v>
      </c>
    </row>
    <row r="654" spans="1:13" s="12" customFormat="1" ht="50.45" customHeight="1" x14ac:dyDescent="0.2">
      <c r="A654" s="85"/>
      <c r="B654" s="54" t="s">
        <v>191</v>
      </c>
      <c r="C654" s="42">
        <v>925</v>
      </c>
      <c r="D654" s="13" t="s">
        <v>5</v>
      </c>
      <c r="E654" s="13" t="s">
        <v>10</v>
      </c>
      <c r="F654" s="13" t="s">
        <v>111</v>
      </c>
      <c r="G654" s="13" t="s">
        <v>166</v>
      </c>
      <c r="H654" s="13" t="s">
        <v>2</v>
      </c>
      <c r="I654" s="13"/>
      <c r="J654" s="26"/>
      <c r="K654" s="17">
        <f>SUM(K655)</f>
        <v>156.5</v>
      </c>
      <c r="L654" s="17">
        <f>SUM(L655)</f>
        <v>15</v>
      </c>
      <c r="M654" s="17">
        <f t="shared" si="82"/>
        <v>9.5846645367412133</v>
      </c>
    </row>
    <row r="655" spans="1:13" s="12" customFormat="1" ht="34.15" customHeight="1" x14ac:dyDescent="0.2">
      <c r="A655" s="85"/>
      <c r="B655" s="54" t="s">
        <v>192</v>
      </c>
      <c r="C655" s="42">
        <v>925</v>
      </c>
      <c r="D655" s="13" t="s">
        <v>5</v>
      </c>
      <c r="E655" s="13" t="s">
        <v>10</v>
      </c>
      <c r="F655" s="13" t="s">
        <v>111</v>
      </c>
      <c r="G655" s="13" t="s">
        <v>166</v>
      </c>
      <c r="H655" s="13" t="s">
        <v>2</v>
      </c>
      <c r="I655" s="13" t="s">
        <v>195</v>
      </c>
      <c r="J655" s="26"/>
      <c r="K655" s="17">
        <f>SUM(K656:K657)</f>
        <v>156.5</v>
      </c>
      <c r="L655" s="17">
        <f>SUM(L656:L657)</f>
        <v>15</v>
      </c>
      <c r="M655" s="17">
        <f t="shared" si="82"/>
        <v>9.5846645367412133</v>
      </c>
    </row>
    <row r="656" spans="1:13" s="12" customFormat="1" ht="30.6" customHeight="1" x14ac:dyDescent="0.2">
      <c r="A656" s="85"/>
      <c r="B656" s="33" t="s">
        <v>175</v>
      </c>
      <c r="C656" s="42">
        <v>925</v>
      </c>
      <c r="D656" s="13" t="s">
        <v>5</v>
      </c>
      <c r="E656" s="13" t="s">
        <v>10</v>
      </c>
      <c r="F656" s="13" t="s">
        <v>111</v>
      </c>
      <c r="G656" s="13" t="s">
        <v>166</v>
      </c>
      <c r="H656" s="13" t="s">
        <v>2</v>
      </c>
      <c r="I656" s="13" t="s">
        <v>195</v>
      </c>
      <c r="J656" s="26" t="s">
        <v>58</v>
      </c>
      <c r="K656" s="17">
        <f>20+15+71.5+50</f>
        <v>156.5</v>
      </c>
      <c r="L656" s="17">
        <v>15</v>
      </c>
      <c r="M656" s="17">
        <f t="shared" si="82"/>
        <v>9.5846645367412133</v>
      </c>
    </row>
    <row r="657" spans="1:13" s="12" customFormat="1" ht="33" customHeight="1" x14ac:dyDescent="0.2">
      <c r="A657" s="85"/>
      <c r="B657" s="33" t="s">
        <v>76</v>
      </c>
      <c r="C657" s="42">
        <v>925</v>
      </c>
      <c r="D657" s="13" t="s">
        <v>5</v>
      </c>
      <c r="E657" s="13" t="s">
        <v>10</v>
      </c>
      <c r="F657" s="13" t="s">
        <v>111</v>
      </c>
      <c r="G657" s="13" t="s">
        <v>166</v>
      </c>
      <c r="H657" s="13" t="s">
        <v>2</v>
      </c>
      <c r="I657" s="13" t="s">
        <v>195</v>
      </c>
      <c r="J657" s="26" t="s">
        <v>77</v>
      </c>
      <c r="K657" s="17">
        <v>0</v>
      </c>
      <c r="L657" s="17">
        <v>0</v>
      </c>
      <c r="M657" s="17"/>
    </row>
    <row r="658" spans="1:13" s="12" customFormat="1" ht="20.45" customHeight="1" x14ac:dyDescent="0.2">
      <c r="A658" s="85"/>
      <c r="B658" s="33" t="s">
        <v>42</v>
      </c>
      <c r="C658" s="42">
        <v>925</v>
      </c>
      <c r="D658" s="13" t="s">
        <v>7</v>
      </c>
      <c r="E658" s="13"/>
      <c r="F658" s="13"/>
      <c r="G658" s="13"/>
      <c r="H658" s="13"/>
      <c r="I658" s="13"/>
      <c r="J658" s="26"/>
      <c r="K658" s="17">
        <f t="shared" ref="K658:L663" si="90">K659</f>
        <v>750</v>
      </c>
      <c r="L658" s="17">
        <f t="shared" si="90"/>
        <v>750</v>
      </c>
      <c r="M658" s="17">
        <f t="shared" si="82"/>
        <v>100</v>
      </c>
    </row>
    <row r="659" spans="1:13" s="12" customFormat="1" ht="31.15" customHeight="1" x14ac:dyDescent="0.2">
      <c r="A659" s="85"/>
      <c r="B659" s="33" t="s">
        <v>221</v>
      </c>
      <c r="C659" s="42">
        <v>925</v>
      </c>
      <c r="D659" s="13" t="s">
        <v>7</v>
      </c>
      <c r="E659" s="13" t="s">
        <v>7</v>
      </c>
      <c r="F659" s="13"/>
      <c r="G659" s="13"/>
      <c r="H659" s="13"/>
      <c r="I659" s="13"/>
      <c r="J659" s="26"/>
      <c r="K659" s="17">
        <f t="shared" si="90"/>
        <v>750</v>
      </c>
      <c r="L659" s="17">
        <f t="shared" si="90"/>
        <v>750</v>
      </c>
      <c r="M659" s="17">
        <f t="shared" si="82"/>
        <v>100</v>
      </c>
    </row>
    <row r="660" spans="1:13" s="12" customFormat="1" ht="49.15" customHeight="1" x14ac:dyDescent="0.2">
      <c r="A660" s="85"/>
      <c r="B660" s="33" t="s">
        <v>252</v>
      </c>
      <c r="C660" s="42">
        <v>925</v>
      </c>
      <c r="D660" s="13" t="s">
        <v>7</v>
      </c>
      <c r="E660" s="13" t="s">
        <v>7</v>
      </c>
      <c r="F660" s="13" t="s">
        <v>30</v>
      </c>
      <c r="G660" s="13"/>
      <c r="H660" s="13"/>
      <c r="I660" s="13"/>
      <c r="J660" s="26"/>
      <c r="K660" s="17">
        <f t="shared" si="90"/>
        <v>750</v>
      </c>
      <c r="L660" s="17">
        <f t="shared" si="90"/>
        <v>750</v>
      </c>
      <c r="M660" s="17">
        <f t="shared" ref="M660:M723" si="91">L660/K660*100</f>
        <v>100</v>
      </c>
    </row>
    <row r="661" spans="1:13" s="12" customFormat="1" ht="49.9" customHeight="1" x14ac:dyDescent="0.2">
      <c r="A661" s="85"/>
      <c r="B661" s="33" t="s">
        <v>282</v>
      </c>
      <c r="C661" s="42">
        <v>925</v>
      </c>
      <c r="D661" s="13" t="s">
        <v>7</v>
      </c>
      <c r="E661" s="13" t="s">
        <v>7</v>
      </c>
      <c r="F661" s="13" t="s">
        <v>30</v>
      </c>
      <c r="G661" s="13" t="s">
        <v>126</v>
      </c>
      <c r="H661" s="13"/>
      <c r="I661" s="13"/>
      <c r="J661" s="26"/>
      <c r="K661" s="17">
        <f t="shared" si="90"/>
        <v>750</v>
      </c>
      <c r="L661" s="17">
        <f t="shared" si="90"/>
        <v>750</v>
      </c>
      <c r="M661" s="17">
        <f t="shared" si="91"/>
        <v>100</v>
      </c>
    </row>
    <row r="662" spans="1:13" s="12" customFormat="1" ht="48.6" customHeight="1" x14ac:dyDescent="0.2">
      <c r="A662" s="85"/>
      <c r="B662" s="33" t="s">
        <v>107</v>
      </c>
      <c r="C662" s="42">
        <v>925</v>
      </c>
      <c r="D662" s="13" t="s">
        <v>7</v>
      </c>
      <c r="E662" s="13" t="s">
        <v>7</v>
      </c>
      <c r="F662" s="13" t="s">
        <v>30</v>
      </c>
      <c r="G662" s="13" t="s">
        <v>126</v>
      </c>
      <c r="H662" s="13" t="s">
        <v>2</v>
      </c>
      <c r="I662" s="13"/>
      <c r="J662" s="26"/>
      <c r="K662" s="17">
        <f t="shared" si="90"/>
        <v>750</v>
      </c>
      <c r="L662" s="17">
        <f t="shared" si="90"/>
        <v>750</v>
      </c>
      <c r="M662" s="17">
        <f t="shared" si="91"/>
        <v>100</v>
      </c>
    </row>
    <row r="663" spans="1:13" s="12" customFormat="1" ht="31.5" x14ac:dyDescent="0.2">
      <c r="A663" s="85"/>
      <c r="B663" s="33" t="s">
        <v>553</v>
      </c>
      <c r="C663" s="42">
        <v>925</v>
      </c>
      <c r="D663" s="13" t="s">
        <v>7</v>
      </c>
      <c r="E663" s="13" t="s">
        <v>7</v>
      </c>
      <c r="F663" s="13" t="s">
        <v>30</v>
      </c>
      <c r="G663" s="13" t="s">
        <v>126</v>
      </c>
      <c r="H663" s="13" t="s">
        <v>2</v>
      </c>
      <c r="I663" s="13" t="s">
        <v>552</v>
      </c>
      <c r="J663" s="26"/>
      <c r="K663" s="17">
        <f t="shared" si="90"/>
        <v>750</v>
      </c>
      <c r="L663" s="17">
        <f t="shared" si="90"/>
        <v>750</v>
      </c>
      <c r="M663" s="17">
        <f t="shared" si="91"/>
        <v>100</v>
      </c>
    </row>
    <row r="664" spans="1:13" s="12" customFormat="1" ht="31.5" x14ac:dyDescent="0.2">
      <c r="A664" s="85"/>
      <c r="B664" s="33" t="s">
        <v>76</v>
      </c>
      <c r="C664" s="42">
        <v>925</v>
      </c>
      <c r="D664" s="13" t="s">
        <v>7</v>
      </c>
      <c r="E664" s="13" t="s">
        <v>7</v>
      </c>
      <c r="F664" s="13" t="s">
        <v>30</v>
      </c>
      <c r="G664" s="13" t="s">
        <v>126</v>
      </c>
      <c r="H664" s="13" t="s">
        <v>2</v>
      </c>
      <c r="I664" s="13" t="s">
        <v>552</v>
      </c>
      <c r="J664" s="26" t="s">
        <v>77</v>
      </c>
      <c r="K664" s="17">
        <v>750</v>
      </c>
      <c r="L664" s="17">
        <v>750</v>
      </c>
      <c r="M664" s="17">
        <f t="shared" si="91"/>
        <v>100</v>
      </c>
    </row>
    <row r="665" spans="1:13" s="12" customFormat="1" ht="16.149999999999999" customHeight="1" x14ac:dyDescent="0.2">
      <c r="A665" s="85"/>
      <c r="B665" s="33" t="s">
        <v>18</v>
      </c>
      <c r="C665" s="42">
        <v>925</v>
      </c>
      <c r="D665" s="13" t="s">
        <v>8</v>
      </c>
      <c r="E665" s="26"/>
      <c r="F665" s="26"/>
      <c r="G665" s="42"/>
      <c r="H665" s="26"/>
      <c r="I665" s="26"/>
      <c r="J665" s="26"/>
      <c r="K665" s="17">
        <f>SUM(K666+K716+K846+K808+K840)</f>
        <v>2201361</v>
      </c>
      <c r="L665" s="17">
        <f>SUM(L666+L716+L846+L808+L840)</f>
        <v>1652388.2999999998</v>
      </c>
      <c r="M665" s="17">
        <f t="shared" si="91"/>
        <v>75.06212293213153</v>
      </c>
    </row>
    <row r="666" spans="1:13" s="12" customFormat="1" x14ac:dyDescent="0.2">
      <c r="A666" s="85"/>
      <c r="B666" s="33" t="s">
        <v>25</v>
      </c>
      <c r="C666" s="42">
        <v>925</v>
      </c>
      <c r="D666" s="26" t="s">
        <v>8</v>
      </c>
      <c r="E666" s="26" t="s">
        <v>2</v>
      </c>
      <c r="F666" s="26"/>
      <c r="G666" s="42"/>
      <c r="H666" s="26"/>
      <c r="I666" s="26"/>
      <c r="J666" s="26"/>
      <c r="K666" s="17">
        <f>SUM(K667+K703+K691+K712+K698)</f>
        <v>765970.9</v>
      </c>
      <c r="L666" s="17">
        <f>SUM(L667+L703+L691+L712+L698)</f>
        <v>559952.20000000007</v>
      </c>
      <c r="M666" s="17">
        <f t="shared" si="91"/>
        <v>73.103586572283632</v>
      </c>
    </row>
    <row r="667" spans="1:13" s="12" customFormat="1" ht="31.5" x14ac:dyDescent="0.2">
      <c r="A667" s="85"/>
      <c r="B667" s="50" t="s">
        <v>218</v>
      </c>
      <c r="C667" s="42">
        <v>925</v>
      </c>
      <c r="D667" s="26" t="s">
        <v>8</v>
      </c>
      <c r="E667" s="26" t="s">
        <v>2</v>
      </c>
      <c r="F667" s="26" t="s">
        <v>2</v>
      </c>
      <c r="G667" s="42"/>
      <c r="H667" s="26"/>
      <c r="I667" s="26"/>
      <c r="J667" s="26"/>
      <c r="K667" s="17">
        <f t="shared" ref="K667:L667" si="92">SUM(K668)</f>
        <v>688086.2</v>
      </c>
      <c r="L667" s="17">
        <f t="shared" si="92"/>
        <v>506232.39999999997</v>
      </c>
      <c r="M667" s="17">
        <f t="shared" si="91"/>
        <v>73.571072926618783</v>
      </c>
    </row>
    <row r="668" spans="1:13" s="12" customFormat="1" ht="51.6" customHeight="1" x14ac:dyDescent="0.2">
      <c r="A668" s="85"/>
      <c r="B668" s="50" t="s">
        <v>283</v>
      </c>
      <c r="C668" s="42">
        <v>925</v>
      </c>
      <c r="D668" s="26" t="s">
        <v>8</v>
      </c>
      <c r="E668" s="26" t="s">
        <v>2</v>
      </c>
      <c r="F668" s="26" t="s">
        <v>2</v>
      </c>
      <c r="G668" s="42">
        <v>1</v>
      </c>
      <c r="H668" s="26"/>
      <c r="I668" s="26"/>
      <c r="J668" s="26"/>
      <c r="K668" s="17">
        <f>SUM(K669+K676+K679+K686)</f>
        <v>688086.2</v>
      </c>
      <c r="L668" s="17">
        <f>SUM(L669+L676+L679+L686)</f>
        <v>506232.39999999997</v>
      </c>
      <c r="M668" s="17">
        <f t="shared" si="91"/>
        <v>73.571072926618783</v>
      </c>
    </row>
    <row r="669" spans="1:13" s="12" customFormat="1" ht="78" customHeight="1" x14ac:dyDescent="0.2">
      <c r="A669" s="85"/>
      <c r="B669" s="50" t="s">
        <v>158</v>
      </c>
      <c r="C669" s="42">
        <v>925</v>
      </c>
      <c r="D669" s="26" t="s">
        <v>8</v>
      </c>
      <c r="E669" s="26" t="s">
        <v>2</v>
      </c>
      <c r="F669" s="26" t="s">
        <v>2</v>
      </c>
      <c r="G669" s="42">
        <v>1</v>
      </c>
      <c r="H669" s="26" t="s">
        <v>2</v>
      </c>
      <c r="I669" s="26"/>
      <c r="J669" s="26"/>
      <c r="K669" s="17">
        <f>K670+K674+K672</f>
        <v>2138</v>
      </c>
      <c r="L669" s="17">
        <f>L670+L674+L672</f>
        <v>1083.2</v>
      </c>
      <c r="M669" s="17">
        <f t="shared" si="91"/>
        <v>50.664172123479887</v>
      </c>
    </row>
    <row r="670" spans="1:13" s="12" customFormat="1" ht="46.9" customHeight="1" x14ac:dyDescent="0.2">
      <c r="A670" s="85"/>
      <c r="B670" s="50" t="s">
        <v>439</v>
      </c>
      <c r="C670" s="42">
        <v>925</v>
      </c>
      <c r="D670" s="26" t="s">
        <v>8</v>
      </c>
      <c r="E670" s="26" t="s">
        <v>2</v>
      </c>
      <c r="F670" s="26" t="s">
        <v>2</v>
      </c>
      <c r="G670" s="42">
        <v>1</v>
      </c>
      <c r="H670" s="26" t="s">
        <v>2</v>
      </c>
      <c r="I670" s="26" t="s">
        <v>438</v>
      </c>
      <c r="J670" s="26"/>
      <c r="K670" s="17">
        <f>K671</f>
        <v>973.2</v>
      </c>
      <c r="L670" s="17">
        <f>L671</f>
        <v>973.2</v>
      </c>
      <c r="M670" s="17">
        <f t="shared" si="91"/>
        <v>100</v>
      </c>
    </row>
    <row r="671" spans="1:13" s="12" customFormat="1" ht="31.15" customHeight="1" x14ac:dyDescent="0.2">
      <c r="A671" s="85"/>
      <c r="B671" s="33" t="s">
        <v>76</v>
      </c>
      <c r="C671" s="42">
        <v>925</v>
      </c>
      <c r="D671" s="26" t="s">
        <v>8</v>
      </c>
      <c r="E671" s="26" t="s">
        <v>2</v>
      </c>
      <c r="F671" s="26" t="s">
        <v>2</v>
      </c>
      <c r="G671" s="42">
        <v>1</v>
      </c>
      <c r="H671" s="26" t="s">
        <v>2</v>
      </c>
      <c r="I671" s="26" t="s">
        <v>438</v>
      </c>
      <c r="J671" s="26" t="s">
        <v>77</v>
      </c>
      <c r="K671" s="17">
        <v>973.2</v>
      </c>
      <c r="L671" s="17">
        <v>973.2</v>
      </c>
      <c r="M671" s="17">
        <f t="shared" si="91"/>
        <v>100</v>
      </c>
    </row>
    <row r="672" spans="1:13" s="12" customFormat="1" ht="34.9" customHeight="1" x14ac:dyDescent="0.2">
      <c r="A672" s="85"/>
      <c r="B672" s="33" t="s">
        <v>373</v>
      </c>
      <c r="C672" s="42">
        <v>925</v>
      </c>
      <c r="D672" s="26" t="s">
        <v>8</v>
      </c>
      <c r="E672" s="26" t="s">
        <v>2</v>
      </c>
      <c r="F672" s="13" t="s">
        <v>2</v>
      </c>
      <c r="G672" s="13" t="s">
        <v>126</v>
      </c>
      <c r="H672" s="13" t="s">
        <v>2</v>
      </c>
      <c r="I672" s="13" t="s">
        <v>397</v>
      </c>
      <c r="J672" s="26"/>
      <c r="K672" s="17">
        <f>K673</f>
        <v>110</v>
      </c>
      <c r="L672" s="17">
        <f>L673</f>
        <v>110</v>
      </c>
      <c r="M672" s="17">
        <f t="shared" si="91"/>
        <v>100</v>
      </c>
    </row>
    <row r="673" spans="1:13" s="12" customFormat="1" ht="33.6" customHeight="1" x14ac:dyDescent="0.2">
      <c r="A673" s="85"/>
      <c r="B673" s="33" t="s">
        <v>353</v>
      </c>
      <c r="C673" s="42">
        <v>925</v>
      </c>
      <c r="D673" s="26" t="s">
        <v>8</v>
      </c>
      <c r="E673" s="26" t="s">
        <v>2</v>
      </c>
      <c r="F673" s="13" t="s">
        <v>2</v>
      </c>
      <c r="G673" s="13" t="s">
        <v>126</v>
      </c>
      <c r="H673" s="13" t="s">
        <v>2</v>
      </c>
      <c r="I673" s="13" t="s">
        <v>397</v>
      </c>
      <c r="J673" s="26" t="s">
        <v>77</v>
      </c>
      <c r="K673" s="17">
        <f>110</f>
        <v>110</v>
      </c>
      <c r="L673" s="17">
        <v>110</v>
      </c>
      <c r="M673" s="17">
        <f t="shared" si="91"/>
        <v>100</v>
      </c>
    </row>
    <row r="674" spans="1:13" s="12" customFormat="1" ht="129.6" customHeight="1" x14ac:dyDescent="0.2">
      <c r="A674" s="85"/>
      <c r="B674" s="33" t="s">
        <v>536</v>
      </c>
      <c r="C674" s="42">
        <v>925</v>
      </c>
      <c r="D674" s="26" t="s">
        <v>8</v>
      </c>
      <c r="E674" s="26" t="s">
        <v>2</v>
      </c>
      <c r="F674" s="26" t="s">
        <v>2</v>
      </c>
      <c r="G674" s="42">
        <v>1</v>
      </c>
      <c r="H674" s="26" t="s">
        <v>2</v>
      </c>
      <c r="I674" s="26" t="s">
        <v>537</v>
      </c>
      <c r="J674" s="26"/>
      <c r="K674" s="17">
        <f>K675</f>
        <v>1054.8</v>
      </c>
      <c r="L674" s="17">
        <f>L675</f>
        <v>0</v>
      </c>
      <c r="M674" s="17">
        <f t="shared" si="91"/>
        <v>0</v>
      </c>
    </row>
    <row r="675" spans="1:13" s="12" customFormat="1" ht="31.5" x14ac:dyDescent="0.2">
      <c r="A675" s="85"/>
      <c r="B675" s="33" t="s">
        <v>76</v>
      </c>
      <c r="C675" s="42">
        <v>925</v>
      </c>
      <c r="D675" s="26" t="s">
        <v>8</v>
      </c>
      <c r="E675" s="26" t="s">
        <v>2</v>
      </c>
      <c r="F675" s="26" t="s">
        <v>2</v>
      </c>
      <c r="G675" s="42">
        <v>1</v>
      </c>
      <c r="H675" s="26" t="s">
        <v>2</v>
      </c>
      <c r="I675" s="26" t="s">
        <v>537</v>
      </c>
      <c r="J675" s="26" t="s">
        <v>77</v>
      </c>
      <c r="K675" s="17">
        <f>5387.5-2997-1335.7</f>
        <v>1054.8</v>
      </c>
      <c r="L675" s="17">
        <v>0</v>
      </c>
      <c r="M675" s="17">
        <f t="shared" si="91"/>
        <v>0</v>
      </c>
    </row>
    <row r="676" spans="1:13" s="12" customFormat="1" ht="64.150000000000006" customHeight="1" x14ac:dyDescent="0.2">
      <c r="A676" s="85"/>
      <c r="B676" s="50" t="s">
        <v>152</v>
      </c>
      <c r="C676" s="42">
        <v>925</v>
      </c>
      <c r="D676" s="26" t="s">
        <v>8</v>
      </c>
      <c r="E676" s="26" t="s">
        <v>2</v>
      </c>
      <c r="F676" s="26" t="s">
        <v>2</v>
      </c>
      <c r="G676" s="42">
        <v>1</v>
      </c>
      <c r="H676" s="26" t="s">
        <v>6</v>
      </c>
      <c r="I676" s="26"/>
      <c r="J676" s="26"/>
      <c r="K676" s="17">
        <f t="shared" ref="K676:L677" si="93">SUM(K677)</f>
        <v>562.6</v>
      </c>
      <c r="L676" s="17">
        <f t="shared" si="93"/>
        <v>423.9</v>
      </c>
      <c r="M676" s="17">
        <f t="shared" si="91"/>
        <v>75.34660504799146</v>
      </c>
    </row>
    <row r="677" spans="1:13" s="12" customFormat="1" ht="127.15" customHeight="1" x14ac:dyDescent="0.2">
      <c r="A677" s="85"/>
      <c r="B677" s="64" t="s">
        <v>359</v>
      </c>
      <c r="C677" s="42">
        <v>925</v>
      </c>
      <c r="D677" s="26" t="s">
        <v>8</v>
      </c>
      <c r="E677" s="26" t="s">
        <v>2</v>
      </c>
      <c r="F677" s="26" t="s">
        <v>2</v>
      </c>
      <c r="G677" s="42">
        <v>1</v>
      </c>
      <c r="H677" s="26" t="s">
        <v>6</v>
      </c>
      <c r="I677" s="26" t="s">
        <v>153</v>
      </c>
      <c r="J677" s="26"/>
      <c r="K677" s="17">
        <f t="shared" si="93"/>
        <v>562.6</v>
      </c>
      <c r="L677" s="17">
        <f t="shared" si="93"/>
        <v>423.9</v>
      </c>
      <c r="M677" s="17">
        <f t="shared" si="91"/>
        <v>75.34660504799146</v>
      </c>
    </row>
    <row r="678" spans="1:13" s="12" customFormat="1" ht="33" customHeight="1" x14ac:dyDescent="0.2">
      <c r="A678" s="85"/>
      <c r="B678" s="53" t="s">
        <v>173</v>
      </c>
      <c r="C678" s="42">
        <v>925</v>
      </c>
      <c r="D678" s="26" t="s">
        <v>8</v>
      </c>
      <c r="E678" s="26" t="s">
        <v>2</v>
      </c>
      <c r="F678" s="26" t="s">
        <v>2</v>
      </c>
      <c r="G678" s="42">
        <v>1</v>
      </c>
      <c r="H678" s="26" t="s">
        <v>6</v>
      </c>
      <c r="I678" s="26" t="s">
        <v>153</v>
      </c>
      <c r="J678" s="26" t="s">
        <v>77</v>
      </c>
      <c r="K678" s="17">
        <f>499.9+1.6+61.1</f>
        <v>562.6</v>
      </c>
      <c r="L678" s="17">
        <v>423.9</v>
      </c>
      <c r="M678" s="17">
        <f t="shared" si="91"/>
        <v>75.34660504799146</v>
      </c>
    </row>
    <row r="679" spans="1:13" s="12" customFormat="1" ht="79.150000000000006" customHeight="1" x14ac:dyDescent="0.2">
      <c r="A679" s="85"/>
      <c r="B679" s="53" t="s">
        <v>154</v>
      </c>
      <c r="C679" s="42">
        <v>925</v>
      </c>
      <c r="D679" s="26" t="s">
        <v>8</v>
      </c>
      <c r="E679" s="26" t="s">
        <v>2</v>
      </c>
      <c r="F679" s="26" t="s">
        <v>2</v>
      </c>
      <c r="G679" s="42">
        <v>1</v>
      </c>
      <c r="H679" s="26" t="s">
        <v>7</v>
      </c>
      <c r="I679" s="26"/>
      <c r="J679" s="26"/>
      <c r="K679" s="17">
        <f>SUM(K684+K680+K682)</f>
        <v>684929.9</v>
      </c>
      <c r="L679" s="17">
        <f>SUM(L684+L680+L682)</f>
        <v>504725.3</v>
      </c>
      <c r="M679" s="17">
        <f t="shared" si="91"/>
        <v>73.690066676896421</v>
      </c>
    </row>
    <row r="680" spans="1:13" s="12" customFormat="1" ht="49.9" customHeight="1" x14ac:dyDescent="0.2">
      <c r="A680" s="85"/>
      <c r="B680" s="53" t="s">
        <v>155</v>
      </c>
      <c r="C680" s="42">
        <v>925</v>
      </c>
      <c r="D680" s="26" t="s">
        <v>8</v>
      </c>
      <c r="E680" s="26" t="s">
        <v>2</v>
      </c>
      <c r="F680" s="26" t="s">
        <v>2</v>
      </c>
      <c r="G680" s="42">
        <v>1</v>
      </c>
      <c r="H680" s="26" t="s">
        <v>7</v>
      </c>
      <c r="I680" s="26" t="s">
        <v>116</v>
      </c>
      <c r="J680" s="26"/>
      <c r="K680" s="17">
        <f>SUM(K681)</f>
        <v>241000.9</v>
      </c>
      <c r="L680" s="17">
        <f>SUM(L681)</f>
        <v>151515.79999999999</v>
      </c>
      <c r="M680" s="17">
        <f t="shared" si="91"/>
        <v>62.869391774055615</v>
      </c>
    </row>
    <row r="681" spans="1:13" s="12" customFormat="1" ht="31.5" x14ac:dyDescent="0.2">
      <c r="A681" s="85"/>
      <c r="B681" s="53" t="s">
        <v>76</v>
      </c>
      <c r="C681" s="42">
        <v>925</v>
      </c>
      <c r="D681" s="26" t="s">
        <v>8</v>
      </c>
      <c r="E681" s="26" t="s">
        <v>2</v>
      </c>
      <c r="F681" s="26" t="s">
        <v>2</v>
      </c>
      <c r="G681" s="42">
        <v>1</v>
      </c>
      <c r="H681" s="26" t="s">
        <v>7</v>
      </c>
      <c r="I681" s="26" t="s">
        <v>116</v>
      </c>
      <c r="J681" s="26" t="s">
        <v>77</v>
      </c>
      <c r="K681" s="17">
        <v>241000.9</v>
      </c>
      <c r="L681" s="17">
        <v>151515.79999999999</v>
      </c>
      <c r="M681" s="17">
        <f t="shared" si="91"/>
        <v>62.869391774055615</v>
      </c>
    </row>
    <row r="682" spans="1:13" s="12" customFormat="1" ht="33.6" customHeight="1" x14ac:dyDescent="0.2">
      <c r="A682" s="85"/>
      <c r="B682" s="33" t="s">
        <v>390</v>
      </c>
      <c r="C682" s="42">
        <v>925</v>
      </c>
      <c r="D682" s="26" t="s">
        <v>8</v>
      </c>
      <c r="E682" s="26" t="s">
        <v>2</v>
      </c>
      <c r="F682" s="65" t="s">
        <v>2</v>
      </c>
      <c r="G682" s="65" t="s">
        <v>126</v>
      </c>
      <c r="H682" s="65" t="s">
        <v>7</v>
      </c>
      <c r="I682" s="65" t="s">
        <v>358</v>
      </c>
      <c r="J682" s="26"/>
      <c r="K682" s="17">
        <f>K683</f>
        <v>1668.2000000000003</v>
      </c>
      <c r="L682" s="17">
        <f>L683</f>
        <v>1436.9</v>
      </c>
      <c r="M682" s="17">
        <f t="shared" si="91"/>
        <v>86.134756024457488</v>
      </c>
    </row>
    <row r="683" spans="1:13" s="12" customFormat="1" ht="31.5" x14ac:dyDescent="0.2">
      <c r="A683" s="85"/>
      <c r="B683" s="33" t="s">
        <v>76</v>
      </c>
      <c r="C683" s="42">
        <v>925</v>
      </c>
      <c r="D683" s="26" t="s">
        <v>8</v>
      </c>
      <c r="E683" s="26" t="s">
        <v>2</v>
      </c>
      <c r="F683" s="65" t="s">
        <v>2</v>
      </c>
      <c r="G683" s="65" t="s">
        <v>126</v>
      </c>
      <c r="H683" s="65" t="s">
        <v>7</v>
      </c>
      <c r="I683" s="65" t="s">
        <v>358</v>
      </c>
      <c r="J683" s="26" t="s">
        <v>77</v>
      </c>
      <c r="K683" s="17">
        <f>1425.4+1425.4-938.5-244.1</f>
        <v>1668.2000000000003</v>
      </c>
      <c r="L683" s="17">
        <v>1436.9</v>
      </c>
      <c r="M683" s="17">
        <f t="shared" si="91"/>
        <v>86.134756024457488</v>
      </c>
    </row>
    <row r="684" spans="1:13" s="12" customFormat="1" ht="80.45" customHeight="1" x14ac:dyDescent="0.2">
      <c r="A684" s="85"/>
      <c r="B684" s="53" t="s">
        <v>362</v>
      </c>
      <c r="C684" s="42">
        <v>925</v>
      </c>
      <c r="D684" s="26" t="s">
        <v>8</v>
      </c>
      <c r="E684" s="26" t="s">
        <v>2</v>
      </c>
      <c r="F684" s="26" t="s">
        <v>2</v>
      </c>
      <c r="G684" s="42">
        <v>1</v>
      </c>
      <c r="H684" s="26" t="s">
        <v>7</v>
      </c>
      <c r="I684" s="26" t="s">
        <v>156</v>
      </c>
      <c r="J684" s="26"/>
      <c r="K684" s="17">
        <f>SUM(K685)</f>
        <v>442260.80000000005</v>
      </c>
      <c r="L684" s="17">
        <f>SUM(L685)</f>
        <v>351772.6</v>
      </c>
      <c r="M684" s="17">
        <f t="shared" si="91"/>
        <v>79.539629105722227</v>
      </c>
    </row>
    <row r="685" spans="1:13" s="12" customFormat="1" ht="31.5" x14ac:dyDescent="0.2">
      <c r="A685" s="85"/>
      <c r="B685" s="53" t="s">
        <v>173</v>
      </c>
      <c r="C685" s="42">
        <v>925</v>
      </c>
      <c r="D685" s="26" t="s">
        <v>8</v>
      </c>
      <c r="E685" s="26" t="s">
        <v>2</v>
      </c>
      <c r="F685" s="26" t="s">
        <v>2</v>
      </c>
      <c r="G685" s="42">
        <v>1</v>
      </c>
      <c r="H685" s="26" t="s">
        <v>7</v>
      </c>
      <c r="I685" s="26" t="s">
        <v>156</v>
      </c>
      <c r="J685" s="26" t="s">
        <v>77</v>
      </c>
      <c r="K685" s="17">
        <f>382835.8+11493.3+31532+10574.7+878.9-971.8+4502.6+242.4+1172.9</f>
        <v>442260.80000000005</v>
      </c>
      <c r="L685" s="17">
        <v>351772.6</v>
      </c>
      <c r="M685" s="17">
        <f t="shared" si="91"/>
        <v>79.539629105722227</v>
      </c>
    </row>
    <row r="686" spans="1:13" s="12" customFormat="1" ht="31.9" customHeight="1" x14ac:dyDescent="0.2">
      <c r="A686" s="85"/>
      <c r="B686" s="33" t="s">
        <v>159</v>
      </c>
      <c r="C686" s="42">
        <v>925</v>
      </c>
      <c r="D686" s="26" t="s">
        <v>8</v>
      </c>
      <c r="E686" s="26" t="s">
        <v>2</v>
      </c>
      <c r="F686" s="65" t="s">
        <v>2</v>
      </c>
      <c r="G686" s="65" t="s">
        <v>126</v>
      </c>
      <c r="H686" s="65" t="s">
        <v>30</v>
      </c>
      <c r="I686" s="65"/>
      <c r="J686" s="26"/>
      <c r="K686" s="17">
        <f>SUM(K687+K689)</f>
        <v>455.7</v>
      </c>
      <c r="L686" s="17">
        <f>SUM(L687+L689)</f>
        <v>0</v>
      </c>
      <c r="M686" s="17">
        <f t="shared" si="91"/>
        <v>0</v>
      </c>
    </row>
    <row r="687" spans="1:13" s="12" customFormat="1" ht="113.45" customHeight="1" x14ac:dyDescent="0.2">
      <c r="A687" s="85"/>
      <c r="B687" s="33" t="s">
        <v>569</v>
      </c>
      <c r="C687" s="42">
        <v>925</v>
      </c>
      <c r="D687" s="26" t="s">
        <v>8</v>
      </c>
      <c r="E687" s="26" t="s">
        <v>2</v>
      </c>
      <c r="F687" s="65" t="s">
        <v>2</v>
      </c>
      <c r="G687" s="65" t="s">
        <v>126</v>
      </c>
      <c r="H687" s="65" t="s">
        <v>30</v>
      </c>
      <c r="I687" s="65" t="s">
        <v>374</v>
      </c>
      <c r="J687" s="26"/>
      <c r="K687" s="17">
        <f>K688</f>
        <v>0</v>
      </c>
      <c r="L687" s="17">
        <f>L688</f>
        <v>0</v>
      </c>
      <c r="M687" s="17"/>
    </row>
    <row r="688" spans="1:13" s="12" customFormat="1" ht="33.6" customHeight="1" x14ac:dyDescent="0.2">
      <c r="A688" s="85"/>
      <c r="B688" s="33" t="s">
        <v>353</v>
      </c>
      <c r="C688" s="42">
        <v>925</v>
      </c>
      <c r="D688" s="26" t="s">
        <v>8</v>
      </c>
      <c r="E688" s="26" t="s">
        <v>2</v>
      </c>
      <c r="F688" s="65" t="s">
        <v>2</v>
      </c>
      <c r="G688" s="65" t="s">
        <v>126</v>
      </c>
      <c r="H688" s="65" t="s">
        <v>30</v>
      </c>
      <c r="I688" s="65" t="s">
        <v>374</v>
      </c>
      <c r="J688" s="26" t="s">
        <v>77</v>
      </c>
      <c r="K688" s="17">
        <v>0</v>
      </c>
      <c r="L688" s="17">
        <v>0</v>
      </c>
      <c r="M688" s="17"/>
    </row>
    <row r="689" spans="1:13" s="12" customFormat="1" ht="32.450000000000003" customHeight="1" x14ac:dyDescent="0.2">
      <c r="A689" s="85"/>
      <c r="B689" s="33" t="s">
        <v>525</v>
      </c>
      <c r="C689" s="42">
        <v>925</v>
      </c>
      <c r="D689" s="26" t="s">
        <v>8</v>
      </c>
      <c r="E689" s="26" t="s">
        <v>2</v>
      </c>
      <c r="F689" s="65" t="s">
        <v>2</v>
      </c>
      <c r="G689" s="65" t="s">
        <v>126</v>
      </c>
      <c r="H689" s="65" t="s">
        <v>30</v>
      </c>
      <c r="I689" s="65" t="s">
        <v>524</v>
      </c>
      <c r="J689" s="26"/>
      <c r="K689" s="17">
        <f>SUM(K690)</f>
        <v>455.7</v>
      </c>
      <c r="L689" s="17">
        <f>SUM(L690)</f>
        <v>0</v>
      </c>
      <c r="M689" s="17">
        <f t="shared" si="91"/>
        <v>0</v>
      </c>
    </row>
    <row r="690" spans="1:13" s="12" customFormat="1" ht="34.9" customHeight="1" x14ac:dyDescent="0.2">
      <c r="A690" s="85"/>
      <c r="B690" s="53" t="s">
        <v>76</v>
      </c>
      <c r="C690" s="42">
        <v>925</v>
      </c>
      <c r="D690" s="26" t="s">
        <v>8</v>
      </c>
      <c r="E690" s="26" t="s">
        <v>2</v>
      </c>
      <c r="F690" s="65" t="s">
        <v>2</v>
      </c>
      <c r="G690" s="65" t="s">
        <v>126</v>
      </c>
      <c r="H690" s="65" t="s">
        <v>30</v>
      </c>
      <c r="I690" s="65" t="s">
        <v>524</v>
      </c>
      <c r="J690" s="26" t="s">
        <v>77</v>
      </c>
      <c r="K690" s="17">
        <f>137.2+318.5</f>
        <v>455.7</v>
      </c>
      <c r="L690" s="17">
        <v>0</v>
      </c>
      <c r="M690" s="17">
        <f t="shared" si="91"/>
        <v>0</v>
      </c>
    </row>
    <row r="691" spans="1:13" s="12" customFormat="1" ht="31.5" x14ac:dyDescent="0.2">
      <c r="A691" s="85"/>
      <c r="B691" s="50" t="s">
        <v>352</v>
      </c>
      <c r="C691" s="42">
        <v>925</v>
      </c>
      <c r="D691" s="26" t="s">
        <v>8</v>
      </c>
      <c r="E691" s="26" t="s">
        <v>2</v>
      </c>
      <c r="F691" s="13" t="s">
        <v>4</v>
      </c>
      <c r="G691" s="13"/>
      <c r="H691" s="13"/>
      <c r="I691" s="13"/>
      <c r="J691" s="26"/>
      <c r="K691" s="17">
        <f>K692</f>
        <v>20660.7</v>
      </c>
      <c r="L691" s="17">
        <f>L692</f>
        <v>11851.6</v>
      </c>
      <c r="M691" s="17">
        <f t="shared" si="91"/>
        <v>57.363012869844674</v>
      </c>
    </row>
    <row r="692" spans="1:13" s="12" customFormat="1" ht="31.5" customHeight="1" x14ac:dyDescent="0.2">
      <c r="A692" s="85"/>
      <c r="B692" s="50" t="s">
        <v>146</v>
      </c>
      <c r="C692" s="42">
        <v>925</v>
      </c>
      <c r="D692" s="26" t="s">
        <v>8</v>
      </c>
      <c r="E692" s="26" t="s">
        <v>2</v>
      </c>
      <c r="F692" s="13" t="s">
        <v>4</v>
      </c>
      <c r="G692" s="13" t="s">
        <v>126</v>
      </c>
      <c r="H692" s="13"/>
      <c r="I692" s="13"/>
      <c r="J692" s="26"/>
      <c r="K692" s="17">
        <f>K693</f>
        <v>20660.7</v>
      </c>
      <c r="L692" s="17">
        <f>L693</f>
        <v>11851.6</v>
      </c>
      <c r="M692" s="17">
        <f t="shared" si="91"/>
        <v>57.363012869844674</v>
      </c>
    </row>
    <row r="693" spans="1:13" s="12" customFormat="1" ht="66.599999999999994" customHeight="1" x14ac:dyDescent="0.2">
      <c r="A693" s="85"/>
      <c r="B693" s="50" t="s">
        <v>147</v>
      </c>
      <c r="C693" s="42">
        <v>925</v>
      </c>
      <c r="D693" s="26" t="s">
        <v>8</v>
      </c>
      <c r="E693" s="26" t="s">
        <v>2</v>
      </c>
      <c r="F693" s="13" t="s">
        <v>4</v>
      </c>
      <c r="G693" s="13" t="s">
        <v>126</v>
      </c>
      <c r="H693" s="13" t="s">
        <v>2</v>
      </c>
      <c r="I693" s="13"/>
      <c r="J693" s="26"/>
      <c r="K693" s="17">
        <f>K694+K696</f>
        <v>20660.7</v>
      </c>
      <c r="L693" s="17">
        <f>L694+L696</f>
        <v>11851.6</v>
      </c>
      <c r="M693" s="17">
        <f t="shared" si="91"/>
        <v>57.363012869844674</v>
      </c>
    </row>
    <row r="694" spans="1:13" s="12" customFormat="1" ht="47.45" customHeight="1" x14ac:dyDescent="0.2">
      <c r="A694" s="85"/>
      <c r="B694" s="50" t="s">
        <v>400</v>
      </c>
      <c r="C694" s="42">
        <v>925</v>
      </c>
      <c r="D694" s="26" t="s">
        <v>8</v>
      </c>
      <c r="E694" s="26" t="s">
        <v>2</v>
      </c>
      <c r="F694" s="13" t="s">
        <v>4</v>
      </c>
      <c r="G694" s="13" t="s">
        <v>126</v>
      </c>
      <c r="H694" s="13" t="s">
        <v>2</v>
      </c>
      <c r="I694" s="13" t="s">
        <v>351</v>
      </c>
      <c r="J694" s="26"/>
      <c r="K694" s="17">
        <f>K695</f>
        <v>20660.7</v>
      </c>
      <c r="L694" s="17">
        <f>L695</f>
        <v>11851.6</v>
      </c>
      <c r="M694" s="17">
        <f t="shared" si="91"/>
        <v>57.363012869844674</v>
      </c>
    </row>
    <row r="695" spans="1:13" s="12" customFormat="1" ht="30.6" customHeight="1" x14ac:dyDescent="0.2">
      <c r="A695" s="85"/>
      <c r="B695" s="33" t="s">
        <v>353</v>
      </c>
      <c r="C695" s="42">
        <v>925</v>
      </c>
      <c r="D695" s="26" t="s">
        <v>8</v>
      </c>
      <c r="E695" s="26" t="s">
        <v>2</v>
      </c>
      <c r="F695" s="13" t="s">
        <v>4</v>
      </c>
      <c r="G695" s="13" t="s">
        <v>126</v>
      </c>
      <c r="H695" s="13" t="s">
        <v>2</v>
      </c>
      <c r="I695" s="13" t="s">
        <v>351</v>
      </c>
      <c r="J695" s="26" t="s">
        <v>77</v>
      </c>
      <c r="K695" s="17">
        <v>20660.7</v>
      </c>
      <c r="L695" s="17">
        <v>11851.6</v>
      </c>
      <c r="M695" s="17">
        <f t="shared" si="91"/>
        <v>57.363012869844674</v>
      </c>
    </row>
    <row r="696" spans="1:13" s="12" customFormat="1" ht="31.9" customHeight="1" x14ac:dyDescent="0.2">
      <c r="A696" s="85"/>
      <c r="B696" s="33" t="s">
        <v>373</v>
      </c>
      <c r="C696" s="42">
        <v>925</v>
      </c>
      <c r="D696" s="26" t="s">
        <v>8</v>
      </c>
      <c r="E696" s="26" t="s">
        <v>2</v>
      </c>
      <c r="F696" s="13" t="s">
        <v>4</v>
      </c>
      <c r="G696" s="13" t="s">
        <v>126</v>
      </c>
      <c r="H696" s="13" t="s">
        <v>2</v>
      </c>
      <c r="I696" s="13" t="s">
        <v>397</v>
      </c>
      <c r="J696" s="26"/>
      <c r="K696" s="17">
        <f>K697</f>
        <v>0</v>
      </c>
      <c r="L696" s="17">
        <f>L697</f>
        <v>0</v>
      </c>
      <c r="M696" s="17"/>
    </row>
    <row r="697" spans="1:13" s="12" customFormat="1" ht="33" customHeight="1" x14ac:dyDescent="0.2">
      <c r="A697" s="85"/>
      <c r="B697" s="33" t="s">
        <v>353</v>
      </c>
      <c r="C697" s="42">
        <v>925</v>
      </c>
      <c r="D697" s="26" t="s">
        <v>8</v>
      </c>
      <c r="E697" s="26" t="s">
        <v>2</v>
      </c>
      <c r="F697" s="13" t="s">
        <v>4</v>
      </c>
      <c r="G697" s="13" t="s">
        <v>126</v>
      </c>
      <c r="H697" s="13" t="s">
        <v>2</v>
      </c>
      <c r="I697" s="13" t="s">
        <v>397</v>
      </c>
      <c r="J697" s="26" t="s">
        <v>77</v>
      </c>
      <c r="K697" s="17">
        <v>0</v>
      </c>
      <c r="L697" s="17">
        <v>0</v>
      </c>
      <c r="M697" s="17"/>
    </row>
    <row r="698" spans="1:13" s="12" customFormat="1" ht="50.45" customHeight="1" x14ac:dyDescent="0.2">
      <c r="A698" s="85"/>
      <c r="B698" s="50" t="s">
        <v>252</v>
      </c>
      <c r="C698" s="42">
        <v>925</v>
      </c>
      <c r="D698" s="26" t="s">
        <v>8</v>
      </c>
      <c r="E698" s="26" t="s">
        <v>2</v>
      </c>
      <c r="F698" s="13" t="s">
        <v>30</v>
      </c>
      <c r="G698" s="13"/>
      <c r="H698" s="13"/>
      <c r="I698" s="13"/>
      <c r="J698" s="26"/>
      <c r="K698" s="17">
        <f t="shared" ref="K698:L701" si="94">K699</f>
        <v>416.8</v>
      </c>
      <c r="L698" s="17">
        <f t="shared" si="94"/>
        <v>416.8</v>
      </c>
      <c r="M698" s="17">
        <f t="shared" si="91"/>
        <v>100</v>
      </c>
    </row>
    <row r="699" spans="1:13" s="12" customFormat="1" ht="50.45" customHeight="1" x14ac:dyDescent="0.2">
      <c r="A699" s="85"/>
      <c r="B699" s="66" t="s">
        <v>282</v>
      </c>
      <c r="C699" s="42">
        <v>925</v>
      </c>
      <c r="D699" s="26" t="s">
        <v>8</v>
      </c>
      <c r="E699" s="26" t="s">
        <v>2</v>
      </c>
      <c r="F699" s="13" t="s">
        <v>30</v>
      </c>
      <c r="G699" s="13" t="s">
        <v>126</v>
      </c>
      <c r="H699" s="13"/>
      <c r="I699" s="13"/>
      <c r="J699" s="26"/>
      <c r="K699" s="17">
        <f t="shared" si="94"/>
        <v>416.8</v>
      </c>
      <c r="L699" s="17">
        <f t="shared" si="94"/>
        <v>416.8</v>
      </c>
      <c r="M699" s="17">
        <f t="shared" si="91"/>
        <v>100</v>
      </c>
    </row>
    <row r="700" spans="1:13" s="12" customFormat="1" ht="48.6" customHeight="1" x14ac:dyDescent="0.2">
      <c r="A700" s="85"/>
      <c r="B700" s="50" t="s">
        <v>107</v>
      </c>
      <c r="C700" s="42">
        <v>925</v>
      </c>
      <c r="D700" s="26" t="s">
        <v>8</v>
      </c>
      <c r="E700" s="26" t="s">
        <v>2</v>
      </c>
      <c r="F700" s="13" t="s">
        <v>30</v>
      </c>
      <c r="G700" s="13" t="s">
        <v>126</v>
      </c>
      <c r="H700" s="13" t="s">
        <v>2</v>
      </c>
      <c r="I700" s="13"/>
      <c r="J700" s="26"/>
      <c r="K700" s="17">
        <f t="shared" si="94"/>
        <v>416.8</v>
      </c>
      <c r="L700" s="17">
        <f t="shared" si="94"/>
        <v>416.8</v>
      </c>
      <c r="M700" s="17">
        <f t="shared" si="91"/>
        <v>100</v>
      </c>
    </row>
    <row r="701" spans="1:13" s="12" customFormat="1" ht="30.6" customHeight="1" x14ac:dyDescent="0.2">
      <c r="A701" s="85"/>
      <c r="B701" s="50" t="s">
        <v>516</v>
      </c>
      <c r="C701" s="42">
        <v>925</v>
      </c>
      <c r="D701" s="26" t="s">
        <v>8</v>
      </c>
      <c r="E701" s="26" t="s">
        <v>2</v>
      </c>
      <c r="F701" s="13" t="s">
        <v>30</v>
      </c>
      <c r="G701" s="13" t="s">
        <v>126</v>
      </c>
      <c r="H701" s="13" t="s">
        <v>2</v>
      </c>
      <c r="I701" s="13" t="s">
        <v>515</v>
      </c>
      <c r="J701" s="26"/>
      <c r="K701" s="17">
        <f t="shared" si="94"/>
        <v>416.8</v>
      </c>
      <c r="L701" s="17">
        <f t="shared" si="94"/>
        <v>416.8</v>
      </c>
      <c r="M701" s="17">
        <f t="shared" si="91"/>
        <v>100</v>
      </c>
    </row>
    <row r="702" spans="1:13" s="12" customFormat="1" ht="32.450000000000003" customHeight="1" x14ac:dyDescent="0.2">
      <c r="A702" s="85"/>
      <c r="B702" s="33" t="s">
        <v>76</v>
      </c>
      <c r="C702" s="42">
        <v>925</v>
      </c>
      <c r="D702" s="26" t="s">
        <v>8</v>
      </c>
      <c r="E702" s="26" t="s">
        <v>2</v>
      </c>
      <c r="F702" s="13" t="s">
        <v>30</v>
      </c>
      <c r="G702" s="13" t="s">
        <v>126</v>
      </c>
      <c r="H702" s="13" t="s">
        <v>2</v>
      </c>
      <c r="I702" s="13" t="s">
        <v>515</v>
      </c>
      <c r="J702" s="26" t="s">
        <v>77</v>
      </c>
      <c r="K702" s="17">
        <v>416.8</v>
      </c>
      <c r="L702" s="17">
        <v>416.8</v>
      </c>
      <c r="M702" s="17">
        <f t="shared" si="91"/>
        <v>100</v>
      </c>
    </row>
    <row r="703" spans="1:13" s="12" customFormat="1" ht="46.9" customHeight="1" x14ac:dyDescent="0.2">
      <c r="A703" s="85"/>
      <c r="B703" s="50" t="s">
        <v>216</v>
      </c>
      <c r="C703" s="42">
        <v>925</v>
      </c>
      <c r="D703" s="26" t="s">
        <v>8</v>
      </c>
      <c r="E703" s="26" t="s">
        <v>2</v>
      </c>
      <c r="F703" s="26" t="s">
        <v>41</v>
      </c>
      <c r="G703" s="42"/>
      <c r="H703" s="26"/>
      <c r="I703" s="26"/>
      <c r="J703" s="26"/>
      <c r="K703" s="17">
        <f>SUM(K704+K708)</f>
        <v>55434.400000000001</v>
      </c>
      <c r="L703" s="17">
        <f>SUM(L704+L708)</f>
        <v>40078.6</v>
      </c>
      <c r="M703" s="17">
        <f t="shared" si="91"/>
        <v>72.299149986290104</v>
      </c>
    </row>
    <row r="704" spans="1:13" s="12" customFormat="1" ht="21" customHeight="1" x14ac:dyDescent="0.2">
      <c r="A704" s="85"/>
      <c r="B704" s="50" t="s">
        <v>277</v>
      </c>
      <c r="C704" s="42">
        <v>925</v>
      </c>
      <c r="D704" s="26" t="s">
        <v>8</v>
      </c>
      <c r="E704" s="26" t="s">
        <v>2</v>
      </c>
      <c r="F704" s="26" t="s">
        <v>41</v>
      </c>
      <c r="G704" s="42">
        <v>2</v>
      </c>
      <c r="H704" s="26"/>
      <c r="I704" s="26"/>
      <c r="J704" s="26"/>
      <c r="K704" s="17">
        <f t="shared" ref="K704:L706" si="95">K705</f>
        <v>577.9</v>
      </c>
      <c r="L704" s="17">
        <f t="shared" si="95"/>
        <v>573.5</v>
      </c>
      <c r="M704" s="17">
        <f t="shared" si="91"/>
        <v>99.238622599065579</v>
      </c>
    </row>
    <row r="705" spans="1:13" s="12" customFormat="1" ht="33" customHeight="1" x14ac:dyDescent="0.2">
      <c r="A705" s="85"/>
      <c r="B705" s="50" t="s">
        <v>355</v>
      </c>
      <c r="C705" s="42">
        <v>925</v>
      </c>
      <c r="D705" s="26" t="s">
        <v>8</v>
      </c>
      <c r="E705" s="26" t="s">
        <v>2</v>
      </c>
      <c r="F705" s="26" t="s">
        <v>41</v>
      </c>
      <c r="G705" s="42">
        <v>2</v>
      </c>
      <c r="H705" s="26" t="s">
        <v>4</v>
      </c>
      <c r="I705" s="26"/>
      <c r="J705" s="26"/>
      <c r="K705" s="17">
        <f t="shared" si="95"/>
        <v>577.9</v>
      </c>
      <c r="L705" s="17">
        <f t="shared" si="95"/>
        <v>573.5</v>
      </c>
      <c r="M705" s="17">
        <f t="shared" si="91"/>
        <v>99.238622599065579</v>
      </c>
    </row>
    <row r="706" spans="1:13" s="12" customFormat="1" ht="63" customHeight="1" x14ac:dyDescent="0.2">
      <c r="A706" s="85"/>
      <c r="B706" s="50" t="s">
        <v>401</v>
      </c>
      <c r="C706" s="42">
        <v>925</v>
      </c>
      <c r="D706" s="26" t="s">
        <v>8</v>
      </c>
      <c r="E706" s="26" t="s">
        <v>2</v>
      </c>
      <c r="F706" s="26" t="s">
        <v>41</v>
      </c>
      <c r="G706" s="42">
        <v>2</v>
      </c>
      <c r="H706" s="26" t="s">
        <v>4</v>
      </c>
      <c r="I706" s="26" t="s">
        <v>354</v>
      </c>
      <c r="J706" s="26"/>
      <c r="K706" s="17">
        <f t="shared" si="95"/>
        <v>577.9</v>
      </c>
      <c r="L706" s="17">
        <f t="shared" si="95"/>
        <v>573.5</v>
      </c>
      <c r="M706" s="17">
        <f t="shared" si="91"/>
        <v>99.238622599065579</v>
      </c>
    </row>
    <row r="707" spans="1:13" s="12" customFormat="1" ht="33" customHeight="1" x14ac:dyDescent="0.2">
      <c r="A707" s="85"/>
      <c r="B707" s="33" t="s">
        <v>76</v>
      </c>
      <c r="C707" s="42">
        <v>925</v>
      </c>
      <c r="D707" s="26" t="s">
        <v>8</v>
      </c>
      <c r="E707" s="26" t="s">
        <v>2</v>
      </c>
      <c r="F707" s="26" t="s">
        <v>41</v>
      </c>
      <c r="G707" s="42">
        <v>2</v>
      </c>
      <c r="H707" s="26" t="s">
        <v>4</v>
      </c>
      <c r="I707" s="26" t="s">
        <v>354</v>
      </c>
      <c r="J707" s="26" t="s">
        <v>77</v>
      </c>
      <c r="K707" s="17">
        <f>49.9+151.7+376.3</f>
        <v>577.9</v>
      </c>
      <c r="L707" s="17">
        <v>573.5</v>
      </c>
      <c r="M707" s="17">
        <f t="shared" si="91"/>
        <v>99.238622599065579</v>
      </c>
    </row>
    <row r="708" spans="1:13" s="12" customFormat="1" ht="30" customHeight="1" x14ac:dyDescent="0.2">
      <c r="A708" s="85"/>
      <c r="B708" s="50" t="s">
        <v>217</v>
      </c>
      <c r="C708" s="42">
        <v>925</v>
      </c>
      <c r="D708" s="26" t="s">
        <v>8</v>
      </c>
      <c r="E708" s="26" t="s">
        <v>2</v>
      </c>
      <c r="F708" s="13" t="s">
        <v>41</v>
      </c>
      <c r="G708" s="13" t="s">
        <v>204</v>
      </c>
      <c r="H708" s="13"/>
      <c r="I708" s="13"/>
      <c r="J708" s="26"/>
      <c r="K708" s="17">
        <f t="shared" ref="K708:L710" si="96">SUM(K709)</f>
        <v>54856.5</v>
      </c>
      <c r="L708" s="17">
        <f t="shared" si="96"/>
        <v>39505.1</v>
      </c>
      <c r="M708" s="17">
        <f t="shared" si="91"/>
        <v>72.015349138206048</v>
      </c>
    </row>
    <row r="709" spans="1:13" s="12" customFormat="1" ht="49.15" customHeight="1" x14ac:dyDescent="0.2">
      <c r="A709" s="85"/>
      <c r="B709" s="50" t="s">
        <v>203</v>
      </c>
      <c r="C709" s="42">
        <v>925</v>
      </c>
      <c r="D709" s="26" t="s">
        <v>8</v>
      </c>
      <c r="E709" s="26" t="s">
        <v>2</v>
      </c>
      <c r="F709" s="13" t="s">
        <v>41</v>
      </c>
      <c r="G709" s="13" t="s">
        <v>204</v>
      </c>
      <c r="H709" s="13" t="s">
        <v>2</v>
      </c>
      <c r="I709" s="13"/>
      <c r="J709" s="26"/>
      <c r="K709" s="17">
        <f t="shared" si="96"/>
        <v>54856.5</v>
      </c>
      <c r="L709" s="17">
        <f t="shared" si="96"/>
        <v>39505.1</v>
      </c>
      <c r="M709" s="17">
        <f t="shared" si="91"/>
        <v>72.015349138206048</v>
      </c>
    </row>
    <row r="710" spans="1:13" s="12" customFormat="1" ht="80.45" customHeight="1" x14ac:dyDescent="0.2">
      <c r="A710" s="85"/>
      <c r="B710" s="50" t="s">
        <v>285</v>
      </c>
      <c r="C710" s="42">
        <v>925</v>
      </c>
      <c r="D710" s="26" t="s">
        <v>8</v>
      </c>
      <c r="E710" s="26" t="s">
        <v>2</v>
      </c>
      <c r="F710" s="13" t="s">
        <v>41</v>
      </c>
      <c r="G710" s="13" t="s">
        <v>204</v>
      </c>
      <c r="H710" s="13" t="s">
        <v>2</v>
      </c>
      <c r="I710" s="13" t="s">
        <v>226</v>
      </c>
      <c r="J710" s="26"/>
      <c r="K710" s="17">
        <f t="shared" si="96"/>
        <v>54856.5</v>
      </c>
      <c r="L710" s="17">
        <f t="shared" si="96"/>
        <v>39505.1</v>
      </c>
      <c r="M710" s="17">
        <f t="shared" si="91"/>
        <v>72.015349138206048</v>
      </c>
    </row>
    <row r="711" spans="1:13" s="12" customFormat="1" ht="30" customHeight="1" x14ac:dyDescent="0.2">
      <c r="A711" s="85"/>
      <c r="B711" s="33" t="s">
        <v>76</v>
      </c>
      <c r="C711" s="42">
        <v>925</v>
      </c>
      <c r="D711" s="26" t="s">
        <v>8</v>
      </c>
      <c r="E711" s="26" t="s">
        <v>2</v>
      </c>
      <c r="F711" s="13" t="s">
        <v>41</v>
      </c>
      <c r="G711" s="13" t="s">
        <v>204</v>
      </c>
      <c r="H711" s="13" t="s">
        <v>2</v>
      </c>
      <c r="I711" s="13" t="s">
        <v>226</v>
      </c>
      <c r="J711" s="26" t="s">
        <v>77</v>
      </c>
      <c r="K711" s="17">
        <f>22090.5+5942.9+21825.4+344+841.7+20-13270.5+1726.8+676.8+13270.5+80.2+485.7+822.5</f>
        <v>54856.5</v>
      </c>
      <c r="L711" s="17">
        <v>39505.1</v>
      </c>
      <c r="M711" s="17">
        <f t="shared" si="91"/>
        <v>72.015349138206048</v>
      </c>
    </row>
    <row r="712" spans="1:13" s="12" customFormat="1" ht="47.45" customHeight="1" x14ac:dyDescent="0.2">
      <c r="A712" s="85"/>
      <c r="B712" s="33" t="s">
        <v>84</v>
      </c>
      <c r="C712" s="42">
        <v>925</v>
      </c>
      <c r="D712" s="26" t="s">
        <v>8</v>
      </c>
      <c r="E712" s="26" t="s">
        <v>2</v>
      </c>
      <c r="F712" s="13" t="s">
        <v>141</v>
      </c>
      <c r="G712" s="25"/>
      <c r="H712" s="13"/>
      <c r="I712" s="13"/>
      <c r="J712" s="13"/>
      <c r="K712" s="17">
        <f t="shared" ref="K712:L714" si="97">K713</f>
        <v>1372.8</v>
      </c>
      <c r="L712" s="17">
        <f t="shared" si="97"/>
        <v>1372.8</v>
      </c>
      <c r="M712" s="17">
        <f t="shared" si="91"/>
        <v>100</v>
      </c>
    </row>
    <row r="713" spans="1:13" s="12" customFormat="1" x14ac:dyDescent="0.2">
      <c r="A713" s="85"/>
      <c r="B713" s="33" t="s">
        <v>64</v>
      </c>
      <c r="C713" s="42">
        <v>925</v>
      </c>
      <c r="D713" s="26" t="s">
        <v>8</v>
      </c>
      <c r="E713" s="26" t="s">
        <v>2</v>
      </c>
      <c r="F713" s="13" t="s">
        <v>141</v>
      </c>
      <c r="G713" s="25">
        <v>2</v>
      </c>
      <c r="H713" s="13"/>
      <c r="I713" s="13"/>
      <c r="J713" s="13"/>
      <c r="K713" s="17">
        <f t="shared" si="97"/>
        <v>1372.8</v>
      </c>
      <c r="L713" s="17">
        <f t="shared" si="97"/>
        <v>1372.8</v>
      </c>
      <c r="M713" s="17">
        <f t="shared" si="91"/>
        <v>100</v>
      </c>
    </row>
    <row r="714" spans="1:13" s="12" customFormat="1" ht="31.5" customHeight="1" x14ac:dyDescent="0.2">
      <c r="A714" s="85"/>
      <c r="B714" s="33" t="s">
        <v>83</v>
      </c>
      <c r="C714" s="42">
        <v>925</v>
      </c>
      <c r="D714" s="26" t="s">
        <v>8</v>
      </c>
      <c r="E714" s="26" t="s">
        <v>2</v>
      </c>
      <c r="F714" s="13" t="s">
        <v>141</v>
      </c>
      <c r="G714" s="25">
        <v>2</v>
      </c>
      <c r="H714" s="13" t="s">
        <v>102</v>
      </c>
      <c r="I714" s="13" t="s">
        <v>143</v>
      </c>
      <c r="J714" s="13"/>
      <c r="K714" s="17">
        <f t="shared" si="97"/>
        <v>1372.8</v>
      </c>
      <c r="L714" s="17">
        <f t="shared" si="97"/>
        <v>1372.8</v>
      </c>
      <c r="M714" s="17">
        <f t="shared" si="91"/>
        <v>100</v>
      </c>
    </row>
    <row r="715" spans="1:13" s="12" customFormat="1" ht="33.6" customHeight="1" x14ac:dyDescent="0.2">
      <c r="A715" s="85"/>
      <c r="B715" s="33" t="s">
        <v>76</v>
      </c>
      <c r="C715" s="42">
        <v>925</v>
      </c>
      <c r="D715" s="26" t="s">
        <v>8</v>
      </c>
      <c r="E715" s="26" t="s">
        <v>2</v>
      </c>
      <c r="F715" s="13" t="s">
        <v>141</v>
      </c>
      <c r="G715" s="25">
        <v>2</v>
      </c>
      <c r="H715" s="13" t="s">
        <v>102</v>
      </c>
      <c r="I715" s="13" t="s">
        <v>143</v>
      </c>
      <c r="J715" s="13" t="s">
        <v>77</v>
      </c>
      <c r="K715" s="17">
        <f>358.7+1014.1</f>
        <v>1372.8</v>
      </c>
      <c r="L715" s="17">
        <v>1372.8</v>
      </c>
      <c r="M715" s="17">
        <f t="shared" si="91"/>
        <v>100</v>
      </c>
    </row>
    <row r="716" spans="1:13" s="12" customFormat="1" x14ac:dyDescent="0.2">
      <c r="A716" s="85"/>
      <c r="B716" s="33" t="s">
        <v>26</v>
      </c>
      <c r="C716" s="42">
        <v>925</v>
      </c>
      <c r="D716" s="26" t="s">
        <v>8</v>
      </c>
      <c r="E716" s="26" t="s">
        <v>4</v>
      </c>
      <c r="F716" s="26"/>
      <c r="G716" s="42"/>
      <c r="H716" s="26"/>
      <c r="I716" s="26"/>
      <c r="J716" s="26"/>
      <c r="K716" s="17">
        <f>SUM(K717+K795+K788+K804)</f>
        <v>1228108.3</v>
      </c>
      <c r="L716" s="17">
        <f>SUM(L717+L795+L788+L804)</f>
        <v>945556.39999999979</v>
      </c>
      <c r="M716" s="17">
        <f t="shared" si="91"/>
        <v>76.99291666703985</v>
      </c>
    </row>
    <row r="717" spans="1:13" s="12" customFormat="1" ht="31.5" x14ac:dyDescent="0.2">
      <c r="A717" s="85"/>
      <c r="B717" s="33" t="s">
        <v>218</v>
      </c>
      <c r="C717" s="42">
        <v>925</v>
      </c>
      <c r="D717" s="26" t="s">
        <v>8</v>
      </c>
      <c r="E717" s="26" t="s">
        <v>4</v>
      </c>
      <c r="F717" s="26" t="s">
        <v>2</v>
      </c>
      <c r="G717" s="42"/>
      <c r="H717" s="26"/>
      <c r="I717" s="26"/>
      <c r="J717" s="26"/>
      <c r="K717" s="17">
        <f>SUM(K718)</f>
        <v>1132406.3</v>
      </c>
      <c r="L717" s="17">
        <f>SUM(L718)</f>
        <v>880452.59999999986</v>
      </c>
      <c r="M717" s="17">
        <f t="shared" si="91"/>
        <v>77.750591814969567</v>
      </c>
    </row>
    <row r="718" spans="1:13" s="12" customFormat="1" ht="49.9" customHeight="1" x14ac:dyDescent="0.2">
      <c r="A718" s="85"/>
      <c r="B718" s="50" t="s">
        <v>283</v>
      </c>
      <c r="C718" s="42">
        <v>925</v>
      </c>
      <c r="D718" s="26" t="s">
        <v>8</v>
      </c>
      <c r="E718" s="26" t="s">
        <v>4</v>
      </c>
      <c r="F718" s="26" t="s">
        <v>2</v>
      </c>
      <c r="G718" s="42">
        <v>1</v>
      </c>
      <c r="H718" s="26"/>
      <c r="I718" s="26"/>
      <c r="J718" s="26"/>
      <c r="K718" s="17">
        <f>SUM(K745+K748+K757+K738+K719+K780+K783)</f>
        <v>1132406.3</v>
      </c>
      <c r="L718" s="17">
        <f>SUM(L745+L748+L757+L738+L719+L780+L783)</f>
        <v>880452.59999999986</v>
      </c>
      <c r="M718" s="17">
        <f t="shared" si="91"/>
        <v>77.750591814969567</v>
      </c>
    </row>
    <row r="719" spans="1:13" s="12" customFormat="1" ht="78" customHeight="1" x14ac:dyDescent="0.2">
      <c r="A719" s="85"/>
      <c r="B719" s="50" t="s">
        <v>158</v>
      </c>
      <c r="C719" s="42">
        <v>925</v>
      </c>
      <c r="D719" s="26" t="s">
        <v>8</v>
      </c>
      <c r="E719" s="26" t="s">
        <v>4</v>
      </c>
      <c r="F719" s="65" t="s">
        <v>2</v>
      </c>
      <c r="G719" s="65" t="s">
        <v>126</v>
      </c>
      <c r="H719" s="65" t="s">
        <v>2</v>
      </c>
      <c r="I719" s="65"/>
      <c r="J719" s="26"/>
      <c r="K719" s="17">
        <f>K720+K722+K724+K726+K728+K730+K734</f>
        <v>44715.5</v>
      </c>
      <c r="L719" s="17">
        <f>L720+L722+L724+L726+L728+L730+L734</f>
        <v>42126.7</v>
      </c>
      <c r="M719" s="17">
        <f t="shared" si="91"/>
        <v>94.210508660307951</v>
      </c>
    </row>
    <row r="720" spans="1:13" s="12" customFormat="1" ht="48" customHeight="1" x14ac:dyDescent="0.2">
      <c r="A720" s="85"/>
      <c r="B720" s="33" t="s">
        <v>439</v>
      </c>
      <c r="C720" s="42">
        <v>925</v>
      </c>
      <c r="D720" s="26" t="s">
        <v>8</v>
      </c>
      <c r="E720" s="26" t="s">
        <v>4</v>
      </c>
      <c r="F720" s="26" t="s">
        <v>2</v>
      </c>
      <c r="G720" s="42">
        <v>1</v>
      </c>
      <c r="H720" s="26" t="s">
        <v>2</v>
      </c>
      <c r="I720" s="26" t="s">
        <v>438</v>
      </c>
      <c r="J720" s="26"/>
      <c r="K720" s="17">
        <f>K721</f>
        <v>1563</v>
      </c>
      <c r="L720" s="17">
        <f>L721</f>
        <v>1563</v>
      </c>
      <c r="M720" s="17">
        <f t="shared" si="91"/>
        <v>100</v>
      </c>
    </row>
    <row r="721" spans="1:15" s="12" customFormat="1" ht="31.5" x14ac:dyDescent="0.2">
      <c r="A721" s="85"/>
      <c r="B721" s="33" t="s">
        <v>76</v>
      </c>
      <c r="C721" s="42">
        <v>925</v>
      </c>
      <c r="D721" s="26" t="s">
        <v>8</v>
      </c>
      <c r="E721" s="26" t="s">
        <v>4</v>
      </c>
      <c r="F721" s="26" t="s">
        <v>2</v>
      </c>
      <c r="G721" s="42">
        <v>1</v>
      </c>
      <c r="H721" s="26" t="s">
        <v>2</v>
      </c>
      <c r="I721" s="26" t="s">
        <v>438</v>
      </c>
      <c r="J721" s="26" t="s">
        <v>77</v>
      </c>
      <c r="K721" s="17">
        <f>163+1400</f>
        <v>1563</v>
      </c>
      <c r="L721" s="17">
        <v>1563</v>
      </c>
      <c r="M721" s="17">
        <f t="shared" si="91"/>
        <v>100</v>
      </c>
    </row>
    <row r="722" spans="1:15" s="12" customFormat="1" x14ac:dyDescent="0.2">
      <c r="A722" s="85"/>
      <c r="B722" s="33" t="s">
        <v>548</v>
      </c>
      <c r="C722" s="42">
        <v>925</v>
      </c>
      <c r="D722" s="26" t="s">
        <v>8</v>
      </c>
      <c r="E722" s="26" t="s">
        <v>4</v>
      </c>
      <c r="F722" s="13" t="s">
        <v>2</v>
      </c>
      <c r="G722" s="13" t="s">
        <v>126</v>
      </c>
      <c r="H722" s="13" t="s">
        <v>2</v>
      </c>
      <c r="I722" s="65" t="s">
        <v>549</v>
      </c>
      <c r="J722" s="26"/>
      <c r="K722" s="17">
        <f>K723</f>
        <v>285</v>
      </c>
      <c r="L722" s="17">
        <f>L723</f>
        <v>180</v>
      </c>
      <c r="M722" s="17">
        <f t="shared" si="91"/>
        <v>63.157894736842103</v>
      </c>
    </row>
    <row r="723" spans="1:15" s="12" customFormat="1" ht="31.5" x14ac:dyDescent="0.2">
      <c r="A723" s="85"/>
      <c r="B723" s="33" t="s">
        <v>76</v>
      </c>
      <c r="C723" s="42">
        <v>925</v>
      </c>
      <c r="D723" s="26" t="s">
        <v>8</v>
      </c>
      <c r="E723" s="26" t="s">
        <v>4</v>
      </c>
      <c r="F723" s="13" t="s">
        <v>2</v>
      </c>
      <c r="G723" s="13" t="s">
        <v>126</v>
      </c>
      <c r="H723" s="13" t="s">
        <v>2</v>
      </c>
      <c r="I723" s="65" t="s">
        <v>549</v>
      </c>
      <c r="J723" s="26" t="s">
        <v>77</v>
      </c>
      <c r="K723" s="17">
        <v>285</v>
      </c>
      <c r="L723" s="17">
        <v>180</v>
      </c>
      <c r="M723" s="17">
        <f t="shared" si="91"/>
        <v>63.157894736842103</v>
      </c>
    </row>
    <row r="724" spans="1:15" s="12" customFormat="1" ht="31.5" x14ac:dyDescent="0.2">
      <c r="A724" s="85"/>
      <c r="B724" s="33" t="s">
        <v>373</v>
      </c>
      <c r="C724" s="42">
        <v>925</v>
      </c>
      <c r="D724" s="26" t="s">
        <v>8</v>
      </c>
      <c r="E724" s="26" t="s">
        <v>4</v>
      </c>
      <c r="F724" s="13" t="s">
        <v>2</v>
      </c>
      <c r="G724" s="13" t="s">
        <v>126</v>
      </c>
      <c r="H724" s="13" t="s">
        <v>2</v>
      </c>
      <c r="I724" s="13" t="s">
        <v>397</v>
      </c>
      <c r="J724" s="26"/>
      <c r="K724" s="17">
        <f>K725</f>
        <v>270</v>
      </c>
      <c r="L724" s="17">
        <f>L725</f>
        <v>270</v>
      </c>
      <c r="M724" s="17">
        <f t="shared" ref="M724:M785" si="98">L724/K724*100</f>
        <v>100</v>
      </c>
    </row>
    <row r="725" spans="1:15" s="12" customFormat="1" ht="36.6" customHeight="1" x14ac:dyDescent="0.2">
      <c r="A725" s="85"/>
      <c r="B725" s="33" t="s">
        <v>353</v>
      </c>
      <c r="C725" s="42">
        <v>925</v>
      </c>
      <c r="D725" s="26" t="s">
        <v>8</v>
      </c>
      <c r="E725" s="26" t="s">
        <v>4</v>
      </c>
      <c r="F725" s="13" t="s">
        <v>2</v>
      </c>
      <c r="G725" s="13" t="s">
        <v>126</v>
      </c>
      <c r="H725" s="13" t="s">
        <v>2</v>
      </c>
      <c r="I725" s="13" t="s">
        <v>397</v>
      </c>
      <c r="J725" s="26" t="s">
        <v>77</v>
      </c>
      <c r="K725" s="17">
        <f>270</f>
        <v>270</v>
      </c>
      <c r="L725" s="17">
        <v>270</v>
      </c>
      <c r="M725" s="17">
        <f t="shared" si="98"/>
        <v>100</v>
      </c>
    </row>
    <row r="726" spans="1:15" s="12" customFormat="1" ht="31.9" customHeight="1" x14ac:dyDescent="0.2">
      <c r="A726" s="85"/>
      <c r="B726" s="33" t="s">
        <v>534</v>
      </c>
      <c r="C726" s="42">
        <v>925</v>
      </c>
      <c r="D726" s="26" t="s">
        <v>8</v>
      </c>
      <c r="E726" s="26" t="s">
        <v>4</v>
      </c>
      <c r="F726" s="13" t="s">
        <v>2</v>
      </c>
      <c r="G726" s="13" t="s">
        <v>126</v>
      </c>
      <c r="H726" s="13" t="s">
        <v>2</v>
      </c>
      <c r="I726" s="65" t="s">
        <v>533</v>
      </c>
      <c r="J726" s="26"/>
      <c r="K726" s="17">
        <f>K727</f>
        <v>34103.4</v>
      </c>
      <c r="L726" s="17">
        <f>L727</f>
        <v>34103.4</v>
      </c>
      <c r="M726" s="17">
        <f t="shared" si="98"/>
        <v>100</v>
      </c>
      <c r="N726" s="23"/>
      <c r="O726" s="23"/>
    </row>
    <row r="727" spans="1:15" s="12" customFormat="1" ht="31.5" x14ac:dyDescent="0.2">
      <c r="A727" s="85"/>
      <c r="B727" s="33" t="s">
        <v>76</v>
      </c>
      <c r="C727" s="42">
        <v>925</v>
      </c>
      <c r="D727" s="26" t="s">
        <v>8</v>
      </c>
      <c r="E727" s="26" t="s">
        <v>4</v>
      </c>
      <c r="F727" s="13" t="s">
        <v>2</v>
      </c>
      <c r="G727" s="13" t="s">
        <v>126</v>
      </c>
      <c r="H727" s="13" t="s">
        <v>2</v>
      </c>
      <c r="I727" s="65" t="s">
        <v>533</v>
      </c>
      <c r="J727" s="26" t="s">
        <v>77</v>
      </c>
      <c r="K727" s="17">
        <v>34103.4</v>
      </c>
      <c r="L727" s="17">
        <v>34103.4</v>
      </c>
      <c r="M727" s="17">
        <f t="shared" si="98"/>
        <v>100</v>
      </c>
    </row>
    <row r="728" spans="1:15" s="12" customFormat="1" ht="147" customHeight="1" x14ac:dyDescent="0.2">
      <c r="A728" s="85"/>
      <c r="B728" s="33" t="s">
        <v>529</v>
      </c>
      <c r="C728" s="42">
        <v>925</v>
      </c>
      <c r="D728" s="26" t="s">
        <v>8</v>
      </c>
      <c r="E728" s="26" t="s">
        <v>4</v>
      </c>
      <c r="F728" s="13" t="s">
        <v>2</v>
      </c>
      <c r="G728" s="13" t="s">
        <v>126</v>
      </c>
      <c r="H728" s="13" t="s">
        <v>2</v>
      </c>
      <c r="I728" s="13" t="s">
        <v>523</v>
      </c>
      <c r="J728" s="13"/>
      <c r="K728" s="17">
        <f>K729</f>
        <v>5565.7</v>
      </c>
      <c r="L728" s="17">
        <f>L729</f>
        <v>5565.7</v>
      </c>
      <c r="M728" s="17">
        <f t="shared" si="98"/>
        <v>100</v>
      </c>
    </row>
    <row r="729" spans="1:15" s="12" customFormat="1" ht="31.5" x14ac:dyDescent="0.2">
      <c r="A729" s="85"/>
      <c r="B729" s="53" t="s">
        <v>76</v>
      </c>
      <c r="C729" s="42">
        <v>925</v>
      </c>
      <c r="D729" s="26" t="s">
        <v>8</v>
      </c>
      <c r="E729" s="26" t="s">
        <v>4</v>
      </c>
      <c r="F729" s="13" t="s">
        <v>2</v>
      </c>
      <c r="G729" s="13" t="s">
        <v>126</v>
      </c>
      <c r="H729" s="13" t="s">
        <v>2</v>
      </c>
      <c r="I729" s="13" t="s">
        <v>523</v>
      </c>
      <c r="J729" s="13" t="s">
        <v>77</v>
      </c>
      <c r="K729" s="17">
        <f>4563.8+1001.9</f>
        <v>5565.7</v>
      </c>
      <c r="L729" s="17">
        <v>5565.7</v>
      </c>
      <c r="M729" s="17">
        <f t="shared" si="98"/>
        <v>100</v>
      </c>
    </row>
    <row r="730" spans="1:15" s="12" customFormat="1" ht="115.15" customHeight="1" x14ac:dyDescent="0.2">
      <c r="A730" s="85"/>
      <c r="B730" s="33" t="s">
        <v>547</v>
      </c>
      <c r="C730" s="42">
        <v>925</v>
      </c>
      <c r="D730" s="26" t="s">
        <v>8</v>
      </c>
      <c r="E730" s="26" t="s">
        <v>4</v>
      </c>
      <c r="F730" s="13" t="s">
        <v>2</v>
      </c>
      <c r="G730" s="13" t="s">
        <v>126</v>
      </c>
      <c r="H730" s="13" t="s">
        <v>2</v>
      </c>
      <c r="I730" s="13" t="s">
        <v>546</v>
      </c>
      <c r="J730" s="13"/>
      <c r="K730" s="17">
        <f>K731</f>
        <v>444.6</v>
      </c>
      <c r="L730" s="17">
        <f>L731</f>
        <v>444.6</v>
      </c>
      <c r="M730" s="17">
        <f t="shared" si="98"/>
        <v>100</v>
      </c>
    </row>
    <row r="731" spans="1:15" s="12" customFormat="1" ht="31.5" x14ac:dyDescent="0.2">
      <c r="A731" s="85"/>
      <c r="B731" s="33" t="s">
        <v>76</v>
      </c>
      <c r="C731" s="42">
        <v>925</v>
      </c>
      <c r="D731" s="26" t="s">
        <v>8</v>
      </c>
      <c r="E731" s="26" t="s">
        <v>4</v>
      </c>
      <c r="F731" s="13" t="s">
        <v>2</v>
      </c>
      <c r="G731" s="13" t="s">
        <v>126</v>
      </c>
      <c r="H731" s="13" t="s">
        <v>2</v>
      </c>
      <c r="I731" s="13" t="s">
        <v>546</v>
      </c>
      <c r="J731" s="13" t="s">
        <v>77</v>
      </c>
      <c r="K731" s="17">
        <f>364.5+80.1</f>
        <v>444.6</v>
      </c>
      <c r="L731" s="17">
        <v>444.6</v>
      </c>
      <c r="M731" s="17">
        <f t="shared" si="98"/>
        <v>100</v>
      </c>
    </row>
    <row r="732" spans="1:15" s="12" customFormat="1" ht="126" customHeight="1" x14ac:dyDescent="0.2">
      <c r="A732" s="85"/>
      <c r="B732" s="33" t="s">
        <v>536</v>
      </c>
      <c r="C732" s="42">
        <v>925</v>
      </c>
      <c r="D732" s="26" t="s">
        <v>8</v>
      </c>
      <c r="E732" s="26" t="s">
        <v>4</v>
      </c>
      <c r="F732" s="13" t="s">
        <v>2</v>
      </c>
      <c r="G732" s="13" t="s">
        <v>126</v>
      </c>
      <c r="H732" s="13" t="s">
        <v>2</v>
      </c>
      <c r="I732" s="26" t="s">
        <v>537</v>
      </c>
      <c r="J732" s="26"/>
      <c r="K732" s="17">
        <f>SUM(K733)</f>
        <v>0</v>
      </c>
      <c r="L732" s="17">
        <f>SUM(L733)</f>
        <v>0</v>
      </c>
      <c r="M732" s="17" t="e">
        <f t="shared" si="98"/>
        <v>#DIV/0!</v>
      </c>
    </row>
    <row r="733" spans="1:15" s="12" customFormat="1" ht="33" customHeight="1" x14ac:dyDescent="0.2">
      <c r="A733" s="85"/>
      <c r="B733" s="33" t="s">
        <v>76</v>
      </c>
      <c r="C733" s="42">
        <v>925</v>
      </c>
      <c r="D733" s="26" t="s">
        <v>8</v>
      </c>
      <c r="E733" s="26" t="s">
        <v>4</v>
      </c>
      <c r="F733" s="13" t="s">
        <v>2</v>
      </c>
      <c r="G733" s="13" t="s">
        <v>126</v>
      </c>
      <c r="H733" s="13" t="s">
        <v>2</v>
      </c>
      <c r="I733" s="26" t="s">
        <v>537</v>
      </c>
      <c r="J733" s="13" t="s">
        <v>77</v>
      </c>
      <c r="K733" s="17">
        <f>4181.8-4181.8</f>
        <v>0</v>
      </c>
      <c r="L733" s="17">
        <v>0</v>
      </c>
      <c r="M733" s="17" t="e">
        <f t="shared" si="98"/>
        <v>#DIV/0!</v>
      </c>
    </row>
    <row r="734" spans="1:15" s="12" customFormat="1" ht="160.9" customHeight="1" x14ac:dyDescent="0.2">
      <c r="A734" s="85"/>
      <c r="B734" s="33" t="s">
        <v>564</v>
      </c>
      <c r="C734" s="42">
        <v>925</v>
      </c>
      <c r="D734" s="26" t="s">
        <v>8</v>
      </c>
      <c r="E734" s="26" t="s">
        <v>4</v>
      </c>
      <c r="F734" s="13" t="s">
        <v>2</v>
      </c>
      <c r="G734" s="13" t="s">
        <v>126</v>
      </c>
      <c r="H734" s="13" t="s">
        <v>2</v>
      </c>
      <c r="I734" s="13" t="s">
        <v>565</v>
      </c>
      <c r="J734" s="26"/>
      <c r="K734" s="17">
        <f>K735</f>
        <v>2483.8000000000002</v>
      </c>
      <c r="L734" s="17">
        <f>L735</f>
        <v>0</v>
      </c>
      <c r="M734" s="17">
        <f t="shared" si="98"/>
        <v>0</v>
      </c>
    </row>
    <row r="735" spans="1:15" s="12" customFormat="1" ht="33" customHeight="1" x14ac:dyDescent="0.2">
      <c r="A735" s="85"/>
      <c r="B735" s="33" t="s">
        <v>76</v>
      </c>
      <c r="C735" s="42">
        <v>925</v>
      </c>
      <c r="D735" s="26" t="s">
        <v>8</v>
      </c>
      <c r="E735" s="26" t="s">
        <v>4</v>
      </c>
      <c r="F735" s="13" t="s">
        <v>2</v>
      </c>
      <c r="G735" s="13" t="s">
        <v>126</v>
      </c>
      <c r="H735" s="13" t="s">
        <v>2</v>
      </c>
      <c r="I735" s="13" t="s">
        <v>565</v>
      </c>
      <c r="J735" s="13" t="s">
        <v>77</v>
      </c>
      <c r="K735" s="17">
        <v>2483.8000000000002</v>
      </c>
      <c r="L735" s="17">
        <v>0</v>
      </c>
      <c r="M735" s="17">
        <f t="shared" si="98"/>
        <v>0</v>
      </c>
    </row>
    <row r="736" spans="1:15" s="12" customFormat="1" ht="143.44999999999999" customHeight="1" x14ac:dyDescent="0.2">
      <c r="A736" s="85"/>
      <c r="B736" s="33" t="s">
        <v>493</v>
      </c>
      <c r="C736" s="42">
        <v>925</v>
      </c>
      <c r="D736" s="26" t="s">
        <v>8</v>
      </c>
      <c r="E736" s="26" t="s">
        <v>4</v>
      </c>
      <c r="F736" s="13" t="s">
        <v>2</v>
      </c>
      <c r="G736" s="13" t="s">
        <v>126</v>
      </c>
      <c r="H736" s="13" t="s">
        <v>2</v>
      </c>
      <c r="I736" s="13" t="s">
        <v>492</v>
      </c>
      <c r="J736" s="26"/>
      <c r="K736" s="17">
        <f>K737</f>
        <v>0</v>
      </c>
      <c r="L736" s="17">
        <f>L737</f>
        <v>0</v>
      </c>
      <c r="M736" s="17"/>
    </row>
    <row r="737" spans="1:13" s="12" customFormat="1" ht="33" customHeight="1" x14ac:dyDescent="0.2">
      <c r="A737" s="85"/>
      <c r="B737" s="33" t="s">
        <v>76</v>
      </c>
      <c r="C737" s="42">
        <v>925</v>
      </c>
      <c r="D737" s="26" t="s">
        <v>8</v>
      </c>
      <c r="E737" s="26" t="s">
        <v>4</v>
      </c>
      <c r="F737" s="13" t="s">
        <v>2</v>
      </c>
      <c r="G737" s="13" t="s">
        <v>126</v>
      </c>
      <c r="H737" s="13" t="s">
        <v>2</v>
      </c>
      <c r="I737" s="13" t="s">
        <v>492</v>
      </c>
      <c r="J737" s="13" t="s">
        <v>77</v>
      </c>
      <c r="K737" s="17">
        <f>5500-4472.6-1027.4</f>
        <v>0</v>
      </c>
      <c r="L737" s="46"/>
      <c r="M737" s="17"/>
    </row>
    <row r="738" spans="1:13" s="12" customFormat="1" ht="30.6" customHeight="1" x14ac:dyDescent="0.2">
      <c r="A738" s="85"/>
      <c r="B738" s="54" t="s">
        <v>184</v>
      </c>
      <c r="C738" s="42">
        <v>925</v>
      </c>
      <c r="D738" s="26" t="s">
        <v>8</v>
      </c>
      <c r="E738" s="26" t="s">
        <v>4</v>
      </c>
      <c r="F738" s="26" t="s">
        <v>2</v>
      </c>
      <c r="G738" s="42">
        <v>1</v>
      </c>
      <c r="H738" s="26" t="s">
        <v>4</v>
      </c>
      <c r="I738" s="26"/>
      <c r="J738" s="26"/>
      <c r="K738" s="17">
        <f>K739+K741</f>
        <v>3808.7000000000003</v>
      </c>
      <c r="L738" s="17">
        <f>L739+L741</f>
        <v>3808.7000000000003</v>
      </c>
      <c r="M738" s="17">
        <f t="shared" si="98"/>
        <v>100</v>
      </c>
    </row>
    <row r="739" spans="1:13" s="12" customFormat="1" ht="19.899999999999999" customHeight="1" x14ac:dyDescent="0.2">
      <c r="A739" s="85"/>
      <c r="B739" s="54" t="s">
        <v>434</v>
      </c>
      <c r="C739" s="42">
        <v>925</v>
      </c>
      <c r="D739" s="26" t="s">
        <v>8</v>
      </c>
      <c r="E739" s="26" t="s">
        <v>4</v>
      </c>
      <c r="F739" s="26" t="s">
        <v>2</v>
      </c>
      <c r="G739" s="42">
        <v>1</v>
      </c>
      <c r="H739" s="26" t="s">
        <v>4</v>
      </c>
      <c r="I739" s="26" t="s">
        <v>433</v>
      </c>
      <c r="J739" s="26"/>
      <c r="K739" s="17">
        <f>K740</f>
        <v>0</v>
      </c>
      <c r="L739" s="17">
        <f>L740</f>
        <v>0</v>
      </c>
      <c r="M739" s="17"/>
    </row>
    <row r="740" spans="1:13" s="12" customFormat="1" ht="30.6" customHeight="1" x14ac:dyDescent="0.2">
      <c r="A740" s="85"/>
      <c r="B740" s="53" t="s">
        <v>76</v>
      </c>
      <c r="C740" s="42">
        <v>925</v>
      </c>
      <c r="D740" s="26" t="s">
        <v>8</v>
      </c>
      <c r="E740" s="26" t="s">
        <v>4</v>
      </c>
      <c r="F740" s="26" t="s">
        <v>2</v>
      </c>
      <c r="G740" s="42">
        <v>1</v>
      </c>
      <c r="H740" s="26" t="s">
        <v>4</v>
      </c>
      <c r="I740" s="26" t="s">
        <v>433</v>
      </c>
      <c r="J740" s="26" t="s">
        <v>77</v>
      </c>
      <c r="K740" s="17">
        <v>0</v>
      </c>
      <c r="L740" s="17">
        <v>0</v>
      </c>
      <c r="M740" s="17"/>
    </row>
    <row r="741" spans="1:13" s="12" customFormat="1" ht="172.9" customHeight="1" x14ac:dyDescent="0.2">
      <c r="A741" s="85"/>
      <c r="B741" s="33" t="s">
        <v>360</v>
      </c>
      <c r="C741" s="42">
        <v>925</v>
      </c>
      <c r="D741" s="26" t="s">
        <v>8</v>
      </c>
      <c r="E741" s="26" t="s">
        <v>4</v>
      </c>
      <c r="F741" s="26" t="s">
        <v>2</v>
      </c>
      <c r="G741" s="42">
        <v>1</v>
      </c>
      <c r="H741" s="26" t="s">
        <v>4</v>
      </c>
      <c r="I741" s="26" t="s">
        <v>202</v>
      </c>
      <c r="J741" s="26"/>
      <c r="K741" s="17">
        <f t="shared" ref="K741:L741" si="99">SUM(K742:K744)</f>
        <v>3808.7000000000003</v>
      </c>
      <c r="L741" s="17">
        <f t="shared" si="99"/>
        <v>3808.7000000000003</v>
      </c>
      <c r="M741" s="17">
        <f t="shared" si="98"/>
        <v>100</v>
      </c>
    </row>
    <row r="742" spans="1:13" s="12" customFormat="1" ht="30.6" customHeight="1" x14ac:dyDescent="0.2">
      <c r="A742" s="85"/>
      <c r="B742" s="33" t="s">
        <v>175</v>
      </c>
      <c r="C742" s="42">
        <v>925</v>
      </c>
      <c r="D742" s="26" t="s">
        <v>8</v>
      </c>
      <c r="E742" s="26" t="s">
        <v>4</v>
      </c>
      <c r="F742" s="26" t="s">
        <v>2</v>
      </c>
      <c r="G742" s="42">
        <v>1</v>
      </c>
      <c r="H742" s="26" t="s">
        <v>4</v>
      </c>
      <c r="I742" s="26" t="s">
        <v>202</v>
      </c>
      <c r="J742" s="26" t="s">
        <v>58</v>
      </c>
      <c r="K742" s="17"/>
      <c r="L742" s="46"/>
      <c r="M742" s="17"/>
    </row>
    <row r="743" spans="1:13" s="12" customFormat="1" ht="19.899999999999999" customHeight="1" x14ac:dyDescent="0.2">
      <c r="A743" s="85"/>
      <c r="B743" s="33" t="s">
        <v>69</v>
      </c>
      <c r="C743" s="42">
        <v>925</v>
      </c>
      <c r="D743" s="26" t="s">
        <v>8</v>
      </c>
      <c r="E743" s="26" t="s">
        <v>4</v>
      </c>
      <c r="F743" s="26" t="s">
        <v>2</v>
      </c>
      <c r="G743" s="42">
        <v>1</v>
      </c>
      <c r="H743" s="26" t="s">
        <v>4</v>
      </c>
      <c r="I743" s="26" t="s">
        <v>202</v>
      </c>
      <c r="J743" s="26" t="s">
        <v>70</v>
      </c>
      <c r="K743" s="17">
        <f>2730-470.7</f>
        <v>2259.3000000000002</v>
      </c>
      <c r="L743" s="17">
        <v>2259.3000000000002</v>
      </c>
      <c r="M743" s="17">
        <f t="shared" si="98"/>
        <v>100</v>
      </c>
    </row>
    <row r="744" spans="1:13" s="12" customFormat="1" ht="31.5" x14ac:dyDescent="0.2">
      <c r="A744" s="85"/>
      <c r="B744" s="53" t="s">
        <v>76</v>
      </c>
      <c r="C744" s="42">
        <v>925</v>
      </c>
      <c r="D744" s="26" t="s">
        <v>8</v>
      </c>
      <c r="E744" s="26" t="s">
        <v>4</v>
      </c>
      <c r="F744" s="26" t="s">
        <v>2</v>
      </c>
      <c r="G744" s="42">
        <v>1</v>
      </c>
      <c r="H744" s="26" t="s">
        <v>4</v>
      </c>
      <c r="I744" s="26" t="s">
        <v>202</v>
      </c>
      <c r="J744" s="26" t="s">
        <v>77</v>
      </c>
      <c r="K744" s="17">
        <f>1078.7+470.7</f>
        <v>1549.4</v>
      </c>
      <c r="L744" s="17">
        <v>1549.4</v>
      </c>
      <c r="M744" s="17">
        <f t="shared" si="98"/>
        <v>100</v>
      </c>
    </row>
    <row r="745" spans="1:13" s="12" customFormat="1" ht="67.150000000000006" customHeight="1" x14ac:dyDescent="0.2">
      <c r="A745" s="85"/>
      <c r="B745" s="50" t="s">
        <v>152</v>
      </c>
      <c r="C745" s="42">
        <v>925</v>
      </c>
      <c r="D745" s="26" t="s">
        <v>8</v>
      </c>
      <c r="E745" s="26" t="s">
        <v>4</v>
      </c>
      <c r="F745" s="26" t="s">
        <v>2</v>
      </c>
      <c r="G745" s="42">
        <v>1</v>
      </c>
      <c r="H745" s="26" t="s">
        <v>6</v>
      </c>
      <c r="I745" s="26"/>
      <c r="J745" s="26"/>
      <c r="K745" s="17">
        <f>SUM(K746)</f>
        <v>1197.1000000000001</v>
      </c>
      <c r="L745" s="17">
        <f>SUM(L746)</f>
        <v>928.6</v>
      </c>
      <c r="M745" s="17">
        <f t="shared" si="98"/>
        <v>77.570796090552165</v>
      </c>
    </row>
    <row r="746" spans="1:13" s="12" customFormat="1" ht="132" customHeight="1" x14ac:dyDescent="0.2">
      <c r="A746" s="85"/>
      <c r="B746" s="52" t="s">
        <v>359</v>
      </c>
      <c r="C746" s="42">
        <v>925</v>
      </c>
      <c r="D746" s="26" t="s">
        <v>8</v>
      </c>
      <c r="E746" s="26" t="s">
        <v>4</v>
      </c>
      <c r="F746" s="26" t="s">
        <v>2</v>
      </c>
      <c r="G746" s="42">
        <v>1</v>
      </c>
      <c r="H746" s="26" t="s">
        <v>6</v>
      </c>
      <c r="I746" s="26" t="s">
        <v>153</v>
      </c>
      <c r="J746" s="26"/>
      <c r="K746" s="17">
        <f>SUM(K747:K747)</f>
        <v>1197.1000000000001</v>
      </c>
      <c r="L746" s="17">
        <f>SUM(L747:L747)</f>
        <v>928.6</v>
      </c>
      <c r="M746" s="17">
        <f t="shared" si="98"/>
        <v>77.570796090552165</v>
      </c>
    </row>
    <row r="747" spans="1:13" s="12" customFormat="1" ht="39" customHeight="1" x14ac:dyDescent="0.2">
      <c r="A747" s="85"/>
      <c r="B747" s="53" t="s">
        <v>173</v>
      </c>
      <c r="C747" s="42">
        <v>925</v>
      </c>
      <c r="D747" s="26" t="s">
        <v>8</v>
      </c>
      <c r="E747" s="26" t="s">
        <v>4</v>
      </c>
      <c r="F747" s="26" t="s">
        <v>2</v>
      </c>
      <c r="G747" s="42">
        <v>1</v>
      </c>
      <c r="H747" s="26" t="s">
        <v>6</v>
      </c>
      <c r="I747" s="26" t="s">
        <v>153</v>
      </c>
      <c r="J747" s="26" t="s">
        <v>77</v>
      </c>
      <c r="K747" s="17">
        <f>1000.1-9.9+206.9</f>
        <v>1197.1000000000001</v>
      </c>
      <c r="L747" s="17">
        <v>928.6</v>
      </c>
      <c r="M747" s="17">
        <f t="shared" si="98"/>
        <v>77.570796090552165</v>
      </c>
    </row>
    <row r="748" spans="1:13" s="12" customFormat="1" ht="86.45" customHeight="1" x14ac:dyDescent="0.2">
      <c r="A748" s="85"/>
      <c r="B748" s="50" t="s">
        <v>154</v>
      </c>
      <c r="C748" s="42">
        <v>925</v>
      </c>
      <c r="D748" s="26" t="s">
        <v>8</v>
      </c>
      <c r="E748" s="26" t="s">
        <v>4</v>
      </c>
      <c r="F748" s="26" t="s">
        <v>2</v>
      </c>
      <c r="G748" s="42">
        <v>1</v>
      </c>
      <c r="H748" s="26" t="s">
        <v>7</v>
      </c>
      <c r="I748" s="26"/>
      <c r="J748" s="26"/>
      <c r="K748" s="17">
        <f>SUM(K749+K751+K754+K755)</f>
        <v>945177.2</v>
      </c>
      <c r="L748" s="17">
        <f>SUM(L749+L751+L754+L755)</f>
        <v>740313.1</v>
      </c>
      <c r="M748" s="17">
        <f t="shared" si="98"/>
        <v>78.325323547796117</v>
      </c>
    </row>
    <row r="749" spans="1:13" s="12" customFormat="1" ht="54.6" customHeight="1" x14ac:dyDescent="0.2">
      <c r="A749" s="85"/>
      <c r="B749" s="53" t="s">
        <v>155</v>
      </c>
      <c r="C749" s="42">
        <v>925</v>
      </c>
      <c r="D749" s="26" t="s">
        <v>8</v>
      </c>
      <c r="E749" s="26" t="s">
        <v>4</v>
      </c>
      <c r="F749" s="26" t="s">
        <v>2</v>
      </c>
      <c r="G749" s="42">
        <v>1</v>
      </c>
      <c r="H749" s="26" t="s">
        <v>7</v>
      </c>
      <c r="I749" s="26" t="s">
        <v>116</v>
      </c>
      <c r="J749" s="26"/>
      <c r="K749" s="17">
        <f>SUM(K750:K750)</f>
        <v>169862.6</v>
      </c>
      <c r="L749" s="17">
        <f>SUM(L750:L750)</f>
        <v>104708.8</v>
      </c>
      <c r="M749" s="17">
        <f t="shared" si="98"/>
        <v>61.64323400206991</v>
      </c>
    </row>
    <row r="750" spans="1:13" s="12" customFormat="1" ht="37.9" customHeight="1" x14ac:dyDescent="0.2">
      <c r="A750" s="85"/>
      <c r="B750" s="53" t="s">
        <v>76</v>
      </c>
      <c r="C750" s="42">
        <v>925</v>
      </c>
      <c r="D750" s="26" t="s">
        <v>8</v>
      </c>
      <c r="E750" s="26" t="s">
        <v>4</v>
      </c>
      <c r="F750" s="26" t="s">
        <v>2</v>
      </c>
      <c r="G750" s="42">
        <v>1</v>
      </c>
      <c r="H750" s="26" t="s">
        <v>7</v>
      </c>
      <c r="I750" s="26" t="s">
        <v>116</v>
      </c>
      <c r="J750" s="26" t="s">
        <v>77</v>
      </c>
      <c r="K750" s="17">
        <f>175931-6637-136.8+260.4+131.7-65+378.3</f>
        <v>169862.6</v>
      </c>
      <c r="L750" s="17">
        <v>104708.8</v>
      </c>
      <c r="M750" s="17">
        <f t="shared" si="98"/>
        <v>61.64323400206991</v>
      </c>
    </row>
    <row r="751" spans="1:13" s="12" customFormat="1" ht="34.9" customHeight="1" x14ac:dyDescent="0.2">
      <c r="A751" s="85"/>
      <c r="B751" s="33" t="s">
        <v>390</v>
      </c>
      <c r="C751" s="42">
        <v>925</v>
      </c>
      <c r="D751" s="26" t="s">
        <v>8</v>
      </c>
      <c r="E751" s="26" t="s">
        <v>4</v>
      </c>
      <c r="F751" s="65" t="s">
        <v>2</v>
      </c>
      <c r="G751" s="65" t="s">
        <v>126</v>
      </c>
      <c r="H751" s="65" t="s">
        <v>7</v>
      </c>
      <c r="I751" s="65" t="s">
        <v>358</v>
      </c>
      <c r="J751" s="26"/>
      <c r="K751" s="17">
        <f>K752</f>
        <v>938.5</v>
      </c>
      <c r="L751" s="17">
        <f>L752</f>
        <v>750</v>
      </c>
      <c r="M751" s="17">
        <f t="shared" si="98"/>
        <v>79.914757591901974</v>
      </c>
    </row>
    <row r="752" spans="1:13" s="12" customFormat="1" ht="31.9" customHeight="1" x14ac:dyDescent="0.2">
      <c r="A752" s="85"/>
      <c r="B752" s="33" t="s">
        <v>76</v>
      </c>
      <c r="C752" s="42">
        <v>925</v>
      </c>
      <c r="D752" s="26" t="s">
        <v>8</v>
      </c>
      <c r="E752" s="26" t="s">
        <v>4</v>
      </c>
      <c r="F752" s="65" t="s">
        <v>2</v>
      </c>
      <c r="G752" s="65" t="s">
        <v>126</v>
      </c>
      <c r="H752" s="65" t="s">
        <v>7</v>
      </c>
      <c r="I752" s="65" t="s">
        <v>358</v>
      </c>
      <c r="J752" s="26" t="s">
        <v>77</v>
      </c>
      <c r="K752" s="17">
        <f>938.5</f>
        <v>938.5</v>
      </c>
      <c r="L752" s="17">
        <v>750</v>
      </c>
      <c r="M752" s="17">
        <f t="shared" si="98"/>
        <v>79.914757591901974</v>
      </c>
    </row>
    <row r="753" spans="1:13" s="12" customFormat="1" ht="137.44999999999999" customHeight="1" x14ac:dyDescent="0.2">
      <c r="A753" s="85"/>
      <c r="B753" s="53" t="s">
        <v>467</v>
      </c>
      <c r="C753" s="42">
        <v>925</v>
      </c>
      <c r="D753" s="26" t="s">
        <v>8</v>
      </c>
      <c r="E753" s="26" t="s">
        <v>4</v>
      </c>
      <c r="F753" s="65" t="s">
        <v>2</v>
      </c>
      <c r="G753" s="65" t="s">
        <v>126</v>
      </c>
      <c r="H753" s="65" t="s">
        <v>7</v>
      </c>
      <c r="I753" s="26" t="s">
        <v>466</v>
      </c>
      <c r="J753" s="26"/>
      <c r="K753" s="17">
        <f>K754</f>
        <v>52054</v>
      </c>
      <c r="L753" s="17">
        <f>L754</f>
        <v>41666.300000000003</v>
      </c>
      <c r="M753" s="17">
        <f t="shared" si="98"/>
        <v>80.04437699312254</v>
      </c>
    </row>
    <row r="754" spans="1:13" s="12" customFormat="1" ht="40.15" customHeight="1" x14ac:dyDescent="0.2">
      <c r="A754" s="85"/>
      <c r="B754" s="53" t="s">
        <v>76</v>
      </c>
      <c r="C754" s="42">
        <v>925</v>
      </c>
      <c r="D754" s="26" t="s">
        <v>8</v>
      </c>
      <c r="E754" s="26" t="s">
        <v>4</v>
      </c>
      <c r="F754" s="65" t="s">
        <v>2</v>
      </c>
      <c r="G754" s="65" t="s">
        <v>126</v>
      </c>
      <c r="H754" s="65" t="s">
        <v>7</v>
      </c>
      <c r="I754" s="26" t="s">
        <v>466</v>
      </c>
      <c r="J754" s="26" t="s">
        <v>77</v>
      </c>
      <c r="K754" s="17">
        <f>45622.1+2239.4+4192.5</f>
        <v>52054</v>
      </c>
      <c r="L754" s="17">
        <v>41666.300000000003</v>
      </c>
      <c r="M754" s="17">
        <f t="shared" si="98"/>
        <v>80.04437699312254</v>
      </c>
    </row>
    <row r="755" spans="1:13" s="12" customFormat="1" ht="81" customHeight="1" x14ac:dyDescent="0.2">
      <c r="A755" s="85"/>
      <c r="B755" s="53" t="s">
        <v>362</v>
      </c>
      <c r="C755" s="42">
        <v>925</v>
      </c>
      <c r="D755" s="26" t="s">
        <v>8</v>
      </c>
      <c r="E755" s="26" t="s">
        <v>4</v>
      </c>
      <c r="F755" s="26" t="s">
        <v>2</v>
      </c>
      <c r="G755" s="42">
        <v>1</v>
      </c>
      <c r="H755" s="26" t="s">
        <v>7</v>
      </c>
      <c r="I755" s="26" t="s">
        <v>156</v>
      </c>
      <c r="J755" s="26"/>
      <c r="K755" s="17">
        <f>SUM(K756:K756)</f>
        <v>722322.1</v>
      </c>
      <c r="L755" s="17">
        <f>SUM(L756:L756)</f>
        <v>593188</v>
      </c>
      <c r="M755" s="17">
        <f t="shared" si="98"/>
        <v>82.122366185390149</v>
      </c>
    </row>
    <row r="756" spans="1:13" s="12" customFormat="1" ht="32.450000000000003" customHeight="1" x14ac:dyDescent="0.2">
      <c r="A756" s="85"/>
      <c r="B756" s="53" t="s">
        <v>173</v>
      </c>
      <c r="C756" s="42">
        <v>925</v>
      </c>
      <c r="D756" s="26" t="s">
        <v>8</v>
      </c>
      <c r="E756" s="26" t="s">
        <v>4</v>
      </c>
      <c r="F756" s="26" t="s">
        <v>2</v>
      </c>
      <c r="G756" s="42">
        <v>1</v>
      </c>
      <c r="H756" s="26" t="s">
        <v>7</v>
      </c>
      <c r="I756" s="26" t="s">
        <v>156</v>
      </c>
      <c r="J756" s="26" t="s">
        <v>77</v>
      </c>
      <c r="K756" s="17">
        <v>722322.1</v>
      </c>
      <c r="L756" s="17">
        <v>593188</v>
      </c>
      <c r="M756" s="17">
        <f t="shared" si="98"/>
        <v>82.122366185390149</v>
      </c>
    </row>
    <row r="757" spans="1:13" s="12" customFormat="1" ht="33" customHeight="1" x14ac:dyDescent="0.2">
      <c r="A757" s="85"/>
      <c r="B757" s="33" t="s">
        <v>159</v>
      </c>
      <c r="C757" s="42">
        <v>925</v>
      </c>
      <c r="D757" s="26" t="s">
        <v>8</v>
      </c>
      <c r="E757" s="26" t="s">
        <v>4</v>
      </c>
      <c r="F757" s="26" t="s">
        <v>2</v>
      </c>
      <c r="G757" s="42">
        <v>1</v>
      </c>
      <c r="H757" s="26" t="s">
        <v>30</v>
      </c>
      <c r="I757" s="26"/>
      <c r="J757" s="26"/>
      <c r="K757" s="17">
        <f>SUM(K758+K770+K760+K762+K774+K764+K778+K766+K772+K776+K768)</f>
        <v>131564.9</v>
      </c>
      <c r="L757" s="17">
        <f>SUM(L758+L770+L760+L762+L774+L764+L778+L766+L772+L776+L768)</f>
        <v>88961.4</v>
      </c>
      <c r="M757" s="17">
        <f t="shared" si="98"/>
        <v>67.617882885176812</v>
      </c>
    </row>
    <row r="758" spans="1:13" s="12" customFormat="1" ht="55.15" customHeight="1" x14ac:dyDescent="0.2">
      <c r="A758" s="85"/>
      <c r="B758" s="34" t="s">
        <v>209</v>
      </c>
      <c r="C758" s="42">
        <v>925</v>
      </c>
      <c r="D758" s="26" t="s">
        <v>8</v>
      </c>
      <c r="E758" s="26" t="s">
        <v>4</v>
      </c>
      <c r="F758" s="26" t="s">
        <v>2</v>
      </c>
      <c r="G758" s="42">
        <v>1</v>
      </c>
      <c r="H758" s="26" t="s">
        <v>30</v>
      </c>
      <c r="I758" s="26" t="s">
        <v>160</v>
      </c>
      <c r="J758" s="26"/>
      <c r="K758" s="17">
        <f>SUM(K759)</f>
        <v>4297</v>
      </c>
      <c r="L758" s="17">
        <f>SUM(L759)</f>
        <v>975.4</v>
      </c>
      <c r="M758" s="17">
        <f t="shared" si="98"/>
        <v>22.699557831044913</v>
      </c>
    </row>
    <row r="759" spans="1:13" s="12" customFormat="1" ht="31.5" x14ac:dyDescent="0.2">
      <c r="A759" s="85"/>
      <c r="B759" s="53" t="s">
        <v>173</v>
      </c>
      <c r="C759" s="42">
        <v>925</v>
      </c>
      <c r="D759" s="26" t="s">
        <v>8</v>
      </c>
      <c r="E759" s="26" t="s">
        <v>4</v>
      </c>
      <c r="F759" s="26" t="s">
        <v>2</v>
      </c>
      <c r="G759" s="42">
        <v>1</v>
      </c>
      <c r="H759" s="26" t="s">
        <v>30</v>
      </c>
      <c r="I759" s="26" t="s">
        <v>160</v>
      </c>
      <c r="J759" s="26" t="s">
        <v>77</v>
      </c>
      <c r="K759" s="17">
        <f>2400+1897</f>
        <v>4297</v>
      </c>
      <c r="L759" s="17">
        <v>975.4</v>
      </c>
      <c r="M759" s="17">
        <f t="shared" si="98"/>
        <v>22.699557831044913</v>
      </c>
    </row>
    <row r="760" spans="1:13" s="12" customFormat="1" ht="112.15" customHeight="1" x14ac:dyDescent="0.2">
      <c r="A760" s="85"/>
      <c r="B760" s="33" t="s">
        <v>569</v>
      </c>
      <c r="C760" s="42">
        <v>925</v>
      </c>
      <c r="D760" s="26" t="s">
        <v>8</v>
      </c>
      <c r="E760" s="26" t="s">
        <v>4</v>
      </c>
      <c r="F760" s="65" t="s">
        <v>2</v>
      </c>
      <c r="G760" s="65" t="s">
        <v>126</v>
      </c>
      <c r="H760" s="65" t="s">
        <v>30</v>
      </c>
      <c r="I760" s="65" t="s">
        <v>374</v>
      </c>
      <c r="J760" s="26"/>
      <c r="K760" s="17">
        <f>K761</f>
        <v>3929.5</v>
      </c>
      <c r="L760" s="17">
        <f>L761</f>
        <v>3838.5</v>
      </c>
      <c r="M760" s="17">
        <f t="shared" si="98"/>
        <v>97.684183738389109</v>
      </c>
    </row>
    <row r="761" spans="1:13" ht="34.15" customHeight="1" x14ac:dyDescent="0.2">
      <c r="A761" s="85"/>
      <c r="B761" s="33" t="s">
        <v>353</v>
      </c>
      <c r="C761" s="42">
        <v>925</v>
      </c>
      <c r="D761" s="26" t="s">
        <v>8</v>
      </c>
      <c r="E761" s="26" t="s">
        <v>4</v>
      </c>
      <c r="F761" s="65" t="s">
        <v>2</v>
      </c>
      <c r="G761" s="65" t="s">
        <v>126</v>
      </c>
      <c r="H761" s="65" t="s">
        <v>30</v>
      </c>
      <c r="I761" s="65" t="s">
        <v>374</v>
      </c>
      <c r="J761" s="26" t="s">
        <v>77</v>
      </c>
      <c r="K761" s="17">
        <v>3929.5</v>
      </c>
      <c r="L761" s="17">
        <v>3838.5</v>
      </c>
      <c r="M761" s="17">
        <f t="shared" si="98"/>
        <v>97.684183738389109</v>
      </c>
    </row>
    <row r="762" spans="1:13" ht="145.15" customHeight="1" x14ac:dyDescent="0.2">
      <c r="A762" s="85"/>
      <c r="B762" s="33" t="s">
        <v>399</v>
      </c>
      <c r="C762" s="42">
        <v>925</v>
      </c>
      <c r="D762" s="26" t="s">
        <v>8</v>
      </c>
      <c r="E762" s="26" t="s">
        <v>4</v>
      </c>
      <c r="F762" s="65" t="s">
        <v>2</v>
      </c>
      <c r="G762" s="65" t="s">
        <v>126</v>
      </c>
      <c r="H762" s="65" t="s">
        <v>30</v>
      </c>
      <c r="I762" s="65" t="s">
        <v>398</v>
      </c>
      <c r="J762" s="26"/>
      <c r="K762" s="17">
        <f>K763</f>
        <v>0</v>
      </c>
      <c r="L762" s="17">
        <f>L763</f>
        <v>0</v>
      </c>
      <c r="M762" s="17"/>
    </row>
    <row r="763" spans="1:13" s="12" customFormat="1" ht="34.15" customHeight="1" x14ac:dyDescent="0.2">
      <c r="A763" s="85"/>
      <c r="B763" s="33" t="s">
        <v>353</v>
      </c>
      <c r="C763" s="42">
        <v>925</v>
      </c>
      <c r="D763" s="26" t="s">
        <v>8</v>
      </c>
      <c r="E763" s="26" t="s">
        <v>4</v>
      </c>
      <c r="F763" s="65" t="s">
        <v>2</v>
      </c>
      <c r="G763" s="65" t="s">
        <v>126</v>
      </c>
      <c r="H763" s="65" t="s">
        <v>30</v>
      </c>
      <c r="I763" s="65" t="s">
        <v>398</v>
      </c>
      <c r="J763" s="26" t="s">
        <v>77</v>
      </c>
      <c r="K763" s="17">
        <v>0</v>
      </c>
      <c r="L763" s="17">
        <v>0</v>
      </c>
      <c r="M763" s="17"/>
    </row>
    <row r="764" spans="1:13" s="12" customFormat="1" ht="49.9" customHeight="1" x14ac:dyDescent="0.2">
      <c r="A764" s="85"/>
      <c r="B764" s="33" t="s">
        <v>409</v>
      </c>
      <c r="C764" s="42">
        <v>925</v>
      </c>
      <c r="D764" s="26" t="s">
        <v>8</v>
      </c>
      <c r="E764" s="26" t="s">
        <v>4</v>
      </c>
      <c r="F764" s="65" t="s">
        <v>2</v>
      </c>
      <c r="G764" s="65" t="s">
        <v>126</v>
      </c>
      <c r="H764" s="65" t="s">
        <v>30</v>
      </c>
      <c r="I764" s="65" t="s">
        <v>410</v>
      </c>
      <c r="J764" s="26"/>
      <c r="K764" s="17">
        <f>K765</f>
        <v>0</v>
      </c>
      <c r="L764" s="17">
        <f>L765</f>
        <v>0</v>
      </c>
      <c r="M764" s="17"/>
    </row>
    <row r="765" spans="1:13" s="12" customFormat="1" ht="31.15" customHeight="1" x14ac:dyDescent="0.2">
      <c r="A765" s="85"/>
      <c r="B765" s="33" t="s">
        <v>353</v>
      </c>
      <c r="C765" s="42">
        <v>925</v>
      </c>
      <c r="D765" s="26" t="s">
        <v>8</v>
      </c>
      <c r="E765" s="26" t="s">
        <v>4</v>
      </c>
      <c r="F765" s="65" t="s">
        <v>2</v>
      </c>
      <c r="G765" s="65" t="s">
        <v>126</v>
      </c>
      <c r="H765" s="65" t="s">
        <v>30</v>
      </c>
      <c r="I765" s="65" t="s">
        <v>410</v>
      </c>
      <c r="J765" s="26" t="s">
        <v>77</v>
      </c>
      <c r="K765" s="17">
        <v>0</v>
      </c>
      <c r="L765" s="17">
        <v>0</v>
      </c>
      <c r="M765" s="17"/>
    </row>
    <row r="766" spans="1:13" s="12" customFormat="1" ht="31.15" customHeight="1" x14ac:dyDescent="0.2">
      <c r="A766" s="85"/>
      <c r="B766" s="33" t="s">
        <v>525</v>
      </c>
      <c r="C766" s="42">
        <v>925</v>
      </c>
      <c r="D766" s="26" t="s">
        <v>8</v>
      </c>
      <c r="E766" s="26" t="s">
        <v>4</v>
      </c>
      <c r="F766" s="65" t="s">
        <v>2</v>
      </c>
      <c r="G766" s="65" t="s">
        <v>126</v>
      </c>
      <c r="H766" s="65" t="s">
        <v>30</v>
      </c>
      <c r="I766" s="65" t="s">
        <v>524</v>
      </c>
      <c r="J766" s="26"/>
      <c r="K766" s="17">
        <f>K767</f>
        <v>254.2</v>
      </c>
      <c r="L766" s="17">
        <f>L767</f>
        <v>204.2</v>
      </c>
      <c r="M766" s="17">
        <f t="shared" si="98"/>
        <v>80.330448465774978</v>
      </c>
    </row>
    <row r="767" spans="1:13" s="12" customFormat="1" ht="32.450000000000003" customHeight="1" x14ac:dyDescent="0.2">
      <c r="A767" s="85"/>
      <c r="B767" s="33" t="s">
        <v>353</v>
      </c>
      <c r="C767" s="42">
        <v>925</v>
      </c>
      <c r="D767" s="26" t="s">
        <v>8</v>
      </c>
      <c r="E767" s="26" t="s">
        <v>4</v>
      </c>
      <c r="F767" s="65" t="s">
        <v>2</v>
      </c>
      <c r="G767" s="65" t="s">
        <v>126</v>
      </c>
      <c r="H767" s="65" t="s">
        <v>30</v>
      </c>
      <c r="I767" s="65" t="s">
        <v>524</v>
      </c>
      <c r="J767" s="26" t="s">
        <v>77</v>
      </c>
      <c r="K767" s="17">
        <v>254.2</v>
      </c>
      <c r="L767" s="17">
        <v>204.2</v>
      </c>
      <c r="M767" s="17">
        <f t="shared" si="98"/>
        <v>80.330448465774978</v>
      </c>
    </row>
    <row r="768" spans="1:13" s="12" customFormat="1" ht="49.9" customHeight="1" x14ac:dyDescent="0.2">
      <c r="A768" s="85"/>
      <c r="B768" s="33" t="s">
        <v>550</v>
      </c>
      <c r="C768" s="42">
        <v>925</v>
      </c>
      <c r="D768" s="26" t="s">
        <v>8</v>
      </c>
      <c r="E768" s="26" t="s">
        <v>4</v>
      </c>
      <c r="F768" s="65" t="s">
        <v>2</v>
      </c>
      <c r="G768" s="65" t="s">
        <v>126</v>
      </c>
      <c r="H768" s="65" t="s">
        <v>30</v>
      </c>
      <c r="I768" s="65" t="s">
        <v>551</v>
      </c>
      <c r="J768" s="26"/>
      <c r="K768" s="17">
        <f>K769</f>
        <v>14.5</v>
      </c>
      <c r="L768" s="17">
        <f>L769</f>
        <v>9.9</v>
      </c>
      <c r="M768" s="17">
        <f t="shared" si="98"/>
        <v>68.275862068965523</v>
      </c>
    </row>
    <row r="769" spans="1:13" s="12" customFormat="1" ht="31.9" customHeight="1" x14ac:dyDescent="0.2">
      <c r="A769" s="85"/>
      <c r="B769" s="33" t="s">
        <v>353</v>
      </c>
      <c r="C769" s="42">
        <v>925</v>
      </c>
      <c r="D769" s="26" t="s">
        <v>8</v>
      </c>
      <c r="E769" s="26" t="s">
        <v>4</v>
      </c>
      <c r="F769" s="65" t="s">
        <v>2</v>
      </c>
      <c r="G769" s="65" t="s">
        <v>126</v>
      </c>
      <c r="H769" s="65" t="s">
        <v>30</v>
      </c>
      <c r="I769" s="65" t="s">
        <v>551</v>
      </c>
      <c r="J769" s="26" t="s">
        <v>77</v>
      </c>
      <c r="K769" s="17">
        <v>14.5</v>
      </c>
      <c r="L769" s="17">
        <v>9.9</v>
      </c>
      <c r="M769" s="17">
        <f t="shared" si="98"/>
        <v>68.275862068965523</v>
      </c>
    </row>
    <row r="770" spans="1:13" ht="64.150000000000006" customHeight="1" x14ac:dyDescent="0.2">
      <c r="A770" s="85"/>
      <c r="B770" s="33" t="s">
        <v>90</v>
      </c>
      <c r="C770" s="42">
        <v>925</v>
      </c>
      <c r="D770" s="26" t="s">
        <v>8</v>
      </c>
      <c r="E770" s="26" t="s">
        <v>4</v>
      </c>
      <c r="F770" s="26" t="s">
        <v>2</v>
      </c>
      <c r="G770" s="42">
        <v>1</v>
      </c>
      <c r="H770" s="26" t="s">
        <v>30</v>
      </c>
      <c r="I770" s="26" t="s">
        <v>161</v>
      </c>
      <c r="J770" s="26"/>
      <c r="K770" s="17">
        <f>SUM(K771)</f>
        <v>658</v>
      </c>
      <c r="L770" s="17">
        <f>SUM(L771)</f>
        <v>600</v>
      </c>
      <c r="M770" s="17">
        <f t="shared" si="98"/>
        <v>91.1854103343465</v>
      </c>
    </row>
    <row r="771" spans="1:13" ht="31.5" x14ac:dyDescent="0.2">
      <c r="A771" s="85"/>
      <c r="B771" s="53" t="s">
        <v>173</v>
      </c>
      <c r="C771" s="42">
        <v>925</v>
      </c>
      <c r="D771" s="26" t="s">
        <v>8</v>
      </c>
      <c r="E771" s="26" t="s">
        <v>4</v>
      </c>
      <c r="F771" s="26" t="s">
        <v>2</v>
      </c>
      <c r="G771" s="42">
        <v>1</v>
      </c>
      <c r="H771" s="26" t="s">
        <v>30</v>
      </c>
      <c r="I771" s="26" t="s">
        <v>161</v>
      </c>
      <c r="J771" s="26" t="s">
        <v>77</v>
      </c>
      <c r="K771" s="17">
        <f>891.1-233.1</f>
        <v>658</v>
      </c>
      <c r="L771" s="17">
        <v>600</v>
      </c>
      <c r="M771" s="17">
        <f t="shared" si="98"/>
        <v>91.1854103343465</v>
      </c>
    </row>
    <row r="772" spans="1:13" s="12" customFormat="1" ht="115.9" customHeight="1" x14ac:dyDescent="0.2">
      <c r="A772" s="85"/>
      <c r="B772" s="33" t="s">
        <v>468</v>
      </c>
      <c r="C772" s="42">
        <v>925</v>
      </c>
      <c r="D772" s="26" t="s">
        <v>8</v>
      </c>
      <c r="E772" s="26" t="s">
        <v>4</v>
      </c>
      <c r="F772" s="65" t="s">
        <v>2</v>
      </c>
      <c r="G772" s="65" t="s">
        <v>126</v>
      </c>
      <c r="H772" s="65" t="s">
        <v>30</v>
      </c>
      <c r="I772" s="65" t="s">
        <v>469</v>
      </c>
      <c r="J772" s="26"/>
      <c r="K772" s="17">
        <f>SUM(K773)</f>
        <v>1215.7</v>
      </c>
      <c r="L772" s="17">
        <f>SUM(L773)</f>
        <v>780</v>
      </c>
      <c r="M772" s="17">
        <f t="shared" si="98"/>
        <v>64.160565929094346</v>
      </c>
    </row>
    <row r="773" spans="1:13" s="12" customFormat="1" ht="33" customHeight="1" x14ac:dyDescent="0.2">
      <c r="A773" s="85"/>
      <c r="B773" s="33" t="s">
        <v>353</v>
      </c>
      <c r="C773" s="42">
        <v>925</v>
      </c>
      <c r="D773" s="26" t="s">
        <v>8</v>
      </c>
      <c r="E773" s="26" t="s">
        <v>4</v>
      </c>
      <c r="F773" s="65" t="s">
        <v>2</v>
      </c>
      <c r="G773" s="65" t="s">
        <v>126</v>
      </c>
      <c r="H773" s="65" t="s">
        <v>30</v>
      </c>
      <c r="I773" s="65" t="s">
        <v>469</v>
      </c>
      <c r="J773" s="26" t="s">
        <v>77</v>
      </c>
      <c r="K773" s="17">
        <v>1215.7</v>
      </c>
      <c r="L773" s="17">
        <v>780</v>
      </c>
      <c r="M773" s="17">
        <f t="shared" si="98"/>
        <v>64.160565929094346</v>
      </c>
    </row>
    <row r="774" spans="1:13" s="12" customFormat="1" ht="62.45" customHeight="1" x14ac:dyDescent="0.2">
      <c r="A774" s="85"/>
      <c r="B774" s="33" t="s">
        <v>403</v>
      </c>
      <c r="C774" s="42">
        <v>925</v>
      </c>
      <c r="D774" s="26" t="s">
        <v>8</v>
      </c>
      <c r="E774" s="26" t="s">
        <v>4</v>
      </c>
      <c r="F774" s="65" t="s">
        <v>2</v>
      </c>
      <c r="G774" s="65" t="s">
        <v>126</v>
      </c>
      <c r="H774" s="65" t="s">
        <v>30</v>
      </c>
      <c r="I774" s="65" t="s">
        <v>402</v>
      </c>
      <c r="J774" s="26"/>
      <c r="K774" s="17">
        <f>K775</f>
        <v>88457.3</v>
      </c>
      <c r="L774" s="17">
        <f>L775</f>
        <v>62766</v>
      </c>
      <c r="M774" s="17">
        <f t="shared" si="98"/>
        <v>70.956269296033227</v>
      </c>
    </row>
    <row r="775" spans="1:13" s="12" customFormat="1" ht="31.15" customHeight="1" x14ac:dyDescent="0.2">
      <c r="A775" s="85"/>
      <c r="B775" s="33" t="s">
        <v>353</v>
      </c>
      <c r="C775" s="42">
        <v>925</v>
      </c>
      <c r="D775" s="26" t="s">
        <v>8</v>
      </c>
      <c r="E775" s="26" t="s">
        <v>4</v>
      </c>
      <c r="F775" s="65" t="s">
        <v>2</v>
      </c>
      <c r="G775" s="65" t="s">
        <v>126</v>
      </c>
      <c r="H775" s="65" t="s">
        <v>30</v>
      </c>
      <c r="I775" s="65" t="s">
        <v>402</v>
      </c>
      <c r="J775" s="26" t="s">
        <v>77</v>
      </c>
      <c r="K775" s="17">
        <v>88457.3</v>
      </c>
      <c r="L775" s="17">
        <v>62766</v>
      </c>
      <c r="M775" s="17">
        <f t="shared" si="98"/>
        <v>70.956269296033227</v>
      </c>
    </row>
    <row r="776" spans="1:13" s="12" customFormat="1" ht="47.45" customHeight="1" x14ac:dyDescent="0.2">
      <c r="A776" s="85"/>
      <c r="B776" s="33" t="s">
        <v>464</v>
      </c>
      <c r="C776" s="42">
        <v>925</v>
      </c>
      <c r="D776" s="26" t="s">
        <v>8</v>
      </c>
      <c r="E776" s="26" t="s">
        <v>4</v>
      </c>
      <c r="F776" s="26" t="s">
        <v>2</v>
      </c>
      <c r="G776" s="42">
        <v>1</v>
      </c>
      <c r="H776" s="26" t="s">
        <v>30</v>
      </c>
      <c r="I776" s="65" t="s">
        <v>465</v>
      </c>
      <c r="J776" s="26"/>
      <c r="K776" s="17">
        <f>SUM(K777)</f>
        <v>12296.3</v>
      </c>
      <c r="L776" s="17">
        <f>SUM(L777)</f>
        <v>7777.8</v>
      </c>
      <c r="M776" s="17">
        <f t="shared" si="98"/>
        <v>63.253173718923584</v>
      </c>
    </row>
    <row r="777" spans="1:13" s="12" customFormat="1" ht="31.9" customHeight="1" x14ac:dyDescent="0.2">
      <c r="A777" s="85"/>
      <c r="B777" s="33" t="s">
        <v>353</v>
      </c>
      <c r="C777" s="42">
        <v>925</v>
      </c>
      <c r="D777" s="26" t="s">
        <v>8</v>
      </c>
      <c r="E777" s="26" t="s">
        <v>4</v>
      </c>
      <c r="F777" s="26" t="s">
        <v>2</v>
      </c>
      <c r="G777" s="42">
        <v>1</v>
      </c>
      <c r="H777" s="26" t="s">
        <v>30</v>
      </c>
      <c r="I777" s="65" t="s">
        <v>465</v>
      </c>
      <c r="J777" s="26" t="s">
        <v>77</v>
      </c>
      <c r="K777" s="17">
        <f>6640+5656.3</f>
        <v>12296.3</v>
      </c>
      <c r="L777" s="17">
        <v>7777.8</v>
      </c>
      <c r="M777" s="17">
        <f t="shared" si="98"/>
        <v>63.253173718923584</v>
      </c>
    </row>
    <row r="778" spans="1:13" s="12" customFormat="1" ht="79.900000000000006" customHeight="1" x14ac:dyDescent="0.2">
      <c r="A778" s="85"/>
      <c r="B778" s="33" t="s">
        <v>429</v>
      </c>
      <c r="C778" s="42">
        <v>925</v>
      </c>
      <c r="D778" s="26" t="s">
        <v>8</v>
      </c>
      <c r="E778" s="26" t="s">
        <v>4</v>
      </c>
      <c r="F778" s="65" t="s">
        <v>2</v>
      </c>
      <c r="G778" s="65" t="s">
        <v>126</v>
      </c>
      <c r="H778" s="65" t="s">
        <v>30</v>
      </c>
      <c r="I778" s="65" t="s">
        <v>430</v>
      </c>
      <c r="J778" s="26"/>
      <c r="K778" s="17">
        <f>K779</f>
        <v>20442.400000000001</v>
      </c>
      <c r="L778" s="17">
        <f>L779</f>
        <v>12009.6</v>
      </c>
      <c r="M778" s="17">
        <f t="shared" si="98"/>
        <v>58.748483544006568</v>
      </c>
    </row>
    <row r="779" spans="1:13" s="12" customFormat="1" ht="34.15" customHeight="1" x14ac:dyDescent="0.2">
      <c r="A779" s="85"/>
      <c r="B779" s="33" t="s">
        <v>353</v>
      </c>
      <c r="C779" s="42">
        <v>925</v>
      </c>
      <c r="D779" s="26" t="s">
        <v>8</v>
      </c>
      <c r="E779" s="26" t="s">
        <v>4</v>
      </c>
      <c r="F779" s="65" t="s">
        <v>2</v>
      </c>
      <c r="G779" s="65" t="s">
        <v>126</v>
      </c>
      <c r="H779" s="65" t="s">
        <v>30</v>
      </c>
      <c r="I779" s="65" t="s">
        <v>430</v>
      </c>
      <c r="J779" s="26" t="s">
        <v>77</v>
      </c>
      <c r="K779" s="17">
        <v>20442.400000000001</v>
      </c>
      <c r="L779" s="17">
        <v>12009.6</v>
      </c>
      <c r="M779" s="17">
        <f t="shared" si="98"/>
        <v>58.748483544006568</v>
      </c>
    </row>
    <row r="780" spans="1:13" s="12" customFormat="1" ht="64.150000000000006" customHeight="1" x14ac:dyDescent="0.2">
      <c r="A780" s="85"/>
      <c r="B780" s="33" t="s">
        <v>440</v>
      </c>
      <c r="C780" s="42">
        <v>925</v>
      </c>
      <c r="D780" s="26" t="s">
        <v>8</v>
      </c>
      <c r="E780" s="26" t="s">
        <v>4</v>
      </c>
      <c r="F780" s="65" t="s">
        <v>442</v>
      </c>
      <c r="G780" s="65" t="s">
        <v>126</v>
      </c>
      <c r="H780" s="65" t="s">
        <v>8</v>
      </c>
      <c r="I780" s="65"/>
      <c r="J780" s="26"/>
      <c r="K780" s="17">
        <f>K781</f>
        <v>518.6</v>
      </c>
      <c r="L780" s="17">
        <f>L781</f>
        <v>257.60000000000002</v>
      </c>
      <c r="M780" s="17">
        <f t="shared" si="98"/>
        <v>49.672194369456228</v>
      </c>
    </row>
    <row r="781" spans="1:13" s="12" customFormat="1" ht="46.9" customHeight="1" x14ac:dyDescent="0.2">
      <c r="A781" s="85"/>
      <c r="B781" s="33" t="s">
        <v>441</v>
      </c>
      <c r="C781" s="42">
        <v>925</v>
      </c>
      <c r="D781" s="26" t="s">
        <v>8</v>
      </c>
      <c r="E781" s="26" t="s">
        <v>4</v>
      </c>
      <c r="F781" s="65" t="s">
        <v>2</v>
      </c>
      <c r="G781" s="65" t="s">
        <v>126</v>
      </c>
      <c r="H781" s="65" t="s">
        <v>8</v>
      </c>
      <c r="I781" s="65" t="s">
        <v>443</v>
      </c>
      <c r="J781" s="26"/>
      <c r="K781" s="17">
        <f>K782</f>
        <v>518.6</v>
      </c>
      <c r="L781" s="17">
        <f>L782</f>
        <v>257.60000000000002</v>
      </c>
      <c r="M781" s="17">
        <f t="shared" si="98"/>
        <v>49.672194369456228</v>
      </c>
    </row>
    <row r="782" spans="1:13" s="12" customFormat="1" ht="15.6" customHeight="1" x14ac:dyDescent="0.2">
      <c r="A782" s="85"/>
      <c r="B782" s="33" t="s">
        <v>22</v>
      </c>
      <c r="C782" s="42">
        <v>925</v>
      </c>
      <c r="D782" s="26" t="s">
        <v>8</v>
      </c>
      <c r="E782" s="26" t="s">
        <v>4</v>
      </c>
      <c r="F782" s="65" t="s">
        <v>2</v>
      </c>
      <c r="G782" s="65" t="s">
        <v>126</v>
      </c>
      <c r="H782" s="65" t="s">
        <v>8</v>
      </c>
      <c r="I782" s="65" t="s">
        <v>443</v>
      </c>
      <c r="J782" s="26" t="s">
        <v>73</v>
      </c>
      <c r="K782" s="17">
        <v>518.6</v>
      </c>
      <c r="L782" s="17">
        <v>257.60000000000002</v>
      </c>
      <c r="M782" s="17">
        <f t="shared" si="98"/>
        <v>49.672194369456228</v>
      </c>
    </row>
    <row r="783" spans="1:13" s="12" customFormat="1" ht="33.6" customHeight="1" x14ac:dyDescent="0.2">
      <c r="A783" s="85"/>
      <c r="B783" s="33" t="s">
        <v>573</v>
      </c>
      <c r="C783" s="42">
        <v>925</v>
      </c>
      <c r="D783" s="26" t="s">
        <v>8</v>
      </c>
      <c r="E783" s="26" t="s">
        <v>4</v>
      </c>
      <c r="F783" s="65" t="s">
        <v>2</v>
      </c>
      <c r="G783" s="65" t="s">
        <v>126</v>
      </c>
      <c r="H783" s="65" t="s">
        <v>531</v>
      </c>
      <c r="I783" s="65"/>
      <c r="J783" s="26"/>
      <c r="K783" s="17">
        <f>SUM(K786+K784)</f>
        <v>5424.3</v>
      </c>
      <c r="L783" s="17">
        <f>SUM(L786+L784)</f>
        <v>4056.5</v>
      </c>
      <c r="M783" s="17">
        <f t="shared" si="98"/>
        <v>74.783843076525997</v>
      </c>
    </row>
    <row r="784" spans="1:13" s="12" customFormat="1" ht="64.900000000000006" customHeight="1" x14ac:dyDescent="0.2">
      <c r="A784" s="85"/>
      <c r="B784" s="33" t="s">
        <v>540</v>
      </c>
      <c r="C784" s="42">
        <v>925</v>
      </c>
      <c r="D784" s="26" t="s">
        <v>8</v>
      </c>
      <c r="E784" s="26" t="s">
        <v>4</v>
      </c>
      <c r="F784" s="65" t="s">
        <v>2</v>
      </c>
      <c r="G784" s="65" t="s">
        <v>126</v>
      </c>
      <c r="H784" s="65" t="s">
        <v>531</v>
      </c>
      <c r="I784" s="65" t="s">
        <v>541</v>
      </c>
      <c r="J784" s="26"/>
      <c r="K784" s="17">
        <f>SUM(K785)</f>
        <v>5424.3</v>
      </c>
      <c r="L784" s="17">
        <f>SUM(L785)</f>
        <v>4056.5</v>
      </c>
      <c r="M784" s="17">
        <f t="shared" si="98"/>
        <v>74.783843076525997</v>
      </c>
    </row>
    <row r="785" spans="1:13" s="12" customFormat="1" ht="33" customHeight="1" x14ac:dyDescent="0.2">
      <c r="A785" s="85"/>
      <c r="B785" s="33" t="s">
        <v>353</v>
      </c>
      <c r="C785" s="42">
        <v>925</v>
      </c>
      <c r="D785" s="26" t="s">
        <v>8</v>
      </c>
      <c r="E785" s="26" t="s">
        <v>4</v>
      </c>
      <c r="F785" s="65" t="s">
        <v>2</v>
      </c>
      <c r="G785" s="65" t="s">
        <v>126</v>
      </c>
      <c r="H785" s="65" t="s">
        <v>531</v>
      </c>
      <c r="I785" s="65" t="s">
        <v>541</v>
      </c>
      <c r="J785" s="26" t="s">
        <v>77</v>
      </c>
      <c r="K785" s="17">
        <f>5424.3</f>
        <v>5424.3</v>
      </c>
      <c r="L785" s="17">
        <v>4056.5</v>
      </c>
      <c r="M785" s="17">
        <f t="shared" si="98"/>
        <v>74.783843076525997</v>
      </c>
    </row>
    <row r="786" spans="1:13" s="12" customFormat="1" ht="69" customHeight="1" x14ac:dyDescent="0.2">
      <c r="A786" s="85"/>
      <c r="B786" s="33" t="s">
        <v>530</v>
      </c>
      <c r="C786" s="42">
        <v>925</v>
      </c>
      <c r="D786" s="26" t="s">
        <v>8</v>
      </c>
      <c r="E786" s="26" t="s">
        <v>4</v>
      </c>
      <c r="F786" s="65" t="s">
        <v>2</v>
      </c>
      <c r="G786" s="65" t="s">
        <v>126</v>
      </c>
      <c r="H786" s="65" t="s">
        <v>531</v>
      </c>
      <c r="I786" s="65" t="s">
        <v>532</v>
      </c>
      <c r="J786" s="26"/>
      <c r="K786" s="17">
        <f>SUM(K787)</f>
        <v>0</v>
      </c>
      <c r="L786" s="17">
        <f>SUM(L787)</f>
        <v>0</v>
      </c>
      <c r="M786" s="17"/>
    </row>
    <row r="787" spans="1:13" s="12" customFormat="1" ht="36" customHeight="1" x14ac:dyDescent="0.2">
      <c r="A787" s="85"/>
      <c r="B787" s="33" t="s">
        <v>353</v>
      </c>
      <c r="C787" s="42">
        <v>925</v>
      </c>
      <c r="D787" s="26" t="s">
        <v>8</v>
      </c>
      <c r="E787" s="26" t="s">
        <v>4</v>
      </c>
      <c r="F787" s="65" t="s">
        <v>2</v>
      </c>
      <c r="G787" s="65" t="s">
        <v>126</v>
      </c>
      <c r="H787" s="65" t="s">
        <v>531</v>
      </c>
      <c r="I787" s="65" t="s">
        <v>532</v>
      </c>
      <c r="J787" s="26" t="s">
        <v>77</v>
      </c>
      <c r="K787" s="17">
        <f>468.8+30-498.8</f>
        <v>0</v>
      </c>
      <c r="L787" s="17">
        <v>0</v>
      </c>
      <c r="M787" s="17"/>
    </row>
    <row r="788" spans="1:13" s="12" customFormat="1" ht="29.45" customHeight="1" x14ac:dyDescent="0.2">
      <c r="A788" s="85"/>
      <c r="B788" s="50" t="s">
        <v>352</v>
      </c>
      <c r="C788" s="42">
        <v>925</v>
      </c>
      <c r="D788" s="26" t="s">
        <v>8</v>
      </c>
      <c r="E788" s="26" t="s">
        <v>4</v>
      </c>
      <c r="F788" s="13" t="s">
        <v>4</v>
      </c>
      <c r="G788" s="13"/>
      <c r="H788" s="13"/>
      <c r="I788" s="13"/>
      <c r="J788" s="26"/>
      <c r="K788" s="17">
        <f>K789</f>
        <v>44693.7</v>
      </c>
      <c r="L788" s="17">
        <f>L789</f>
        <v>29823.5</v>
      </c>
      <c r="M788" s="17">
        <f t="shared" ref="M788:M849" si="100">L788/K788*100</f>
        <v>66.728644081828094</v>
      </c>
    </row>
    <row r="789" spans="1:13" s="12" customFormat="1" ht="31.15" customHeight="1" x14ac:dyDescent="0.2">
      <c r="A789" s="85"/>
      <c r="B789" s="50" t="s">
        <v>146</v>
      </c>
      <c r="C789" s="42">
        <v>925</v>
      </c>
      <c r="D789" s="26" t="s">
        <v>8</v>
      </c>
      <c r="E789" s="26" t="s">
        <v>4</v>
      </c>
      <c r="F789" s="13" t="s">
        <v>4</v>
      </c>
      <c r="G789" s="13" t="s">
        <v>126</v>
      </c>
      <c r="H789" s="13"/>
      <c r="I789" s="13"/>
      <c r="J789" s="26"/>
      <c r="K789" s="17">
        <f>K790+K793</f>
        <v>44693.7</v>
      </c>
      <c r="L789" s="17">
        <f>L790+L793</f>
        <v>29823.5</v>
      </c>
      <c r="M789" s="17">
        <f t="shared" si="100"/>
        <v>66.728644081828094</v>
      </c>
    </row>
    <row r="790" spans="1:13" s="12" customFormat="1" ht="64.900000000000006" customHeight="1" x14ac:dyDescent="0.2">
      <c r="A790" s="85"/>
      <c r="B790" s="50" t="s">
        <v>147</v>
      </c>
      <c r="C790" s="42">
        <v>925</v>
      </c>
      <c r="D790" s="26" t="s">
        <v>8</v>
      </c>
      <c r="E790" s="26" t="s">
        <v>4</v>
      </c>
      <c r="F790" s="13" t="s">
        <v>4</v>
      </c>
      <c r="G790" s="13" t="s">
        <v>126</v>
      </c>
      <c r="H790" s="13" t="s">
        <v>2</v>
      </c>
      <c r="I790" s="13"/>
      <c r="J790" s="26"/>
      <c r="K790" s="17">
        <f>K791</f>
        <v>42193.7</v>
      </c>
      <c r="L790" s="17">
        <f>L791</f>
        <v>27323.5</v>
      </c>
      <c r="M790" s="17">
        <f t="shared" si="100"/>
        <v>64.757297890443368</v>
      </c>
    </row>
    <row r="791" spans="1:13" s="12" customFormat="1" ht="47.45" customHeight="1" x14ac:dyDescent="0.2">
      <c r="A791" s="85"/>
      <c r="B791" s="50" t="s">
        <v>400</v>
      </c>
      <c r="C791" s="42">
        <v>925</v>
      </c>
      <c r="D791" s="26" t="s">
        <v>8</v>
      </c>
      <c r="E791" s="26" t="s">
        <v>4</v>
      </c>
      <c r="F791" s="13" t="s">
        <v>4</v>
      </c>
      <c r="G791" s="13" t="s">
        <v>126</v>
      </c>
      <c r="H791" s="13" t="s">
        <v>2</v>
      </c>
      <c r="I791" s="13" t="s">
        <v>351</v>
      </c>
      <c r="J791" s="26"/>
      <c r="K791" s="17">
        <f>K792</f>
        <v>42193.7</v>
      </c>
      <c r="L791" s="17">
        <f>L792</f>
        <v>27323.5</v>
      </c>
      <c r="M791" s="17">
        <f t="shared" si="100"/>
        <v>64.757297890443368</v>
      </c>
    </row>
    <row r="792" spans="1:13" s="12" customFormat="1" ht="31.9" customHeight="1" x14ac:dyDescent="0.2">
      <c r="A792" s="85"/>
      <c r="B792" s="33" t="s">
        <v>353</v>
      </c>
      <c r="C792" s="42">
        <v>925</v>
      </c>
      <c r="D792" s="26" t="s">
        <v>8</v>
      </c>
      <c r="E792" s="26" t="s">
        <v>4</v>
      </c>
      <c r="F792" s="13" t="s">
        <v>4</v>
      </c>
      <c r="G792" s="13" t="s">
        <v>126</v>
      </c>
      <c r="H792" s="13" t="s">
        <v>2</v>
      </c>
      <c r="I792" s="13" t="s">
        <v>351</v>
      </c>
      <c r="J792" s="26" t="s">
        <v>77</v>
      </c>
      <c r="K792" s="17">
        <v>42193.7</v>
      </c>
      <c r="L792" s="17">
        <v>27323.5</v>
      </c>
      <c r="M792" s="17">
        <f t="shared" si="100"/>
        <v>64.757297890443368</v>
      </c>
    </row>
    <row r="793" spans="1:13" s="12" customFormat="1" ht="33" customHeight="1" x14ac:dyDescent="0.2">
      <c r="A793" s="85"/>
      <c r="B793" s="33" t="s">
        <v>373</v>
      </c>
      <c r="C793" s="42">
        <v>925</v>
      </c>
      <c r="D793" s="26" t="s">
        <v>8</v>
      </c>
      <c r="E793" s="26" t="s">
        <v>4</v>
      </c>
      <c r="F793" s="13" t="s">
        <v>4</v>
      </c>
      <c r="G793" s="13" t="s">
        <v>126</v>
      </c>
      <c r="H793" s="13" t="s">
        <v>2</v>
      </c>
      <c r="I793" s="13" t="s">
        <v>397</v>
      </c>
      <c r="J793" s="26"/>
      <c r="K793" s="17">
        <f>K794</f>
        <v>2500</v>
      </c>
      <c r="L793" s="17">
        <f>L794</f>
        <v>2500</v>
      </c>
      <c r="M793" s="17">
        <f t="shared" si="100"/>
        <v>100</v>
      </c>
    </row>
    <row r="794" spans="1:13" s="12" customFormat="1" ht="34.15" customHeight="1" x14ac:dyDescent="0.2">
      <c r="A794" s="85"/>
      <c r="B794" s="33" t="s">
        <v>353</v>
      </c>
      <c r="C794" s="42">
        <v>925</v>
      </c>
      <c r="D794" s="26" t="s">
        <v>8</v>
      </c>
      <c r="E794" s="26" t="s">
        <v>4</v>
      </c>
      <c r="F794" s="13" t="s">
        <v>4</v>
      </c>
      <c r="G794" s="13" t="s">
        <v>126</v>
      </c>
      <c r="H794" s="13" t="s">
        <v>2</v>
      </c>
      <c r="I794" s="13" t="s">
        <v>397</v>
      </c>
      <c r="J794" s="26" t="s">
        <v>77</v>
      </c>
      <c r="K794" s="17">
        <v>2500</v>
      </c>
      <c r="L794" s="17">
        <v>2500</v>
      </c>
      <c r="M794" s="17">
        <f t="shared" si="100"/>
        <v>100</v>
      </c>
    </row>
    <row r="795" spans="1:13" s="12" customFormat="1" ht="48" customHeight="1" x14ac:dyDescent="0.2">
      <c r="A795" s="85"/>
      <c r="B795" s="50" t="s">
        <v>216</v>
      </c>
      <c r="C795" s="42">
        <v>925</v>
      </c>
      <c r="D795" s="26" t="s">
        <v>8</v>
      </c>
      <c r="E795" s="26" t="s">
        <v>4</v>
      </c>
      <c r="F795" s="13" t="s">
        <v>41</v>
      </c>
      <c r="G795" s="13"/>
      <c r="H795" s="13"/>
      <c r="I795" s="13"/>
      <c r="J795" s="26"/>
      <c r="K795" s="17">
        <f>K796+K800</f>
        <v>48078.2</v>
      </c>
      <c r="L795" s="17">
        <f>L796+L800</f>
        <v>32602.199999999997</v>
      </c>
      <c r="M795" s="17">
        <f t="shared" si="100"/>
        <v>67.810774945817442</v>
      </c>
    </row>
    <row r="796" spans="1:13" s="12" customFormat="1" ht="21.6" customHeight="1" x14ac:dyDescent="0.2">
      <c r="A796" s="85"/>
      <c r="B796" s="50" t="s">
        <v>277</v>
      </c>
      <c r="C796" s="42">
        <v>925</v>
      </c>
      <c r="D796" s="26" t="s">
        <v>8</v>
      </c>
      <c r="E796" s="26" t="s">
        <v>4</v>
      </c>
      <c r="F796" s="26" t="s">
        <v>41</v>
      </c>
      <c r="G796" s="42">
        <v>2</v>
      </c>
      <c r="H796" s="26"/>
      <c r="I796" s="26"/>
      <c r="J796" s="26"/>
      <c r="K796" s="17">
        <f t="shared" ref="K796:L798" si="101">K797</f>
        <v>597.6</v>
      </c>
      <c r="L796" s="17">
        <f t="shared" si="101"/>
        <v>597.6</v>
      </c>
      <c r="M796" s="17">
        <f t="shared" si="100"/>
        <v>100</v>
      </c>
    </row>
    <row r="797" spans="1:13" s="12" customFormat="1" ht="36.6" customHeight="1" x14ac:dyDescent="0.2">
      <c r="A797" s="85"/>
      <c r="B797" s="50" t="s">
        <v>355</v>
      </c>
      <c r="C797" s="42">
        <v>925</v>
      </c>
      <c r="D797" s="26" t="s">
        <v>8</v>
      </c>
      <c r="E797" s="26" t="s">
        <v>4</v>
      </c>
      <c r="F797" s="26" t="s">
        <v>41</v>
      </c>
      <c r="G797" s="42">
        <v>2</v>
      </c>
      <c r="H797" s="26" t="s">
        <v>4</v>
      </c>
      <c r="I797" s="26"/>
      <c r="J797" s="26"/>
      <c r="K797" s="17">
        <f t="shared" si="101"/>
        <v>597.6</v>
      </c>
      <c r="L797" s="17">
        <f t="shared" si="101"/>
        <v>597.6</v>
      </c>
      <c r="M797" s="17">
        <f t="shared" si="100"/>
        <v>100</v>
      </c>
    </row>
    <row r="798" spans="1:13" s="12" customFormat="1" ht="64.150000000000006" customHeight="1" x14ac:dyDescent="0.2">
      <c r="A798" s="85"/>
      <c r="B798" s="50" t="s">
        <v>401</v>
      </c>
      <c r="C798" s="42">
        <v>925</v>
      </c>
      <c r="D798" s="26" t="s">
        <v>8</v>
      </c>
      <c r="E798" s="26" t="s">
        <v>4</v>
      </c>
      <c r="F798" s="26" t="s">
        <v>41</v>
      </c>
      <c r="G798" s="42">
        <v>2</v>
      </c>
      <c r="H798" s="26" t="s">
        <v>4</v>
      </c>
      <c r="I798" s="26" t="s">
        <v>354</v>
      </c>
      <c r="J798" s="26"/>
      <c r="K798" s="17">
        <f t="shared" si="101"/>
        <v>597.6</v>
      </c>
      <c r="L798" s="17">
        <f t="shared" si="101"/>
        <v>597.6</v>
      </c>
      <c r="M798" s="17">
        <f t="shared" si="100"/>
        <v>100</v>
      </c>
    </row>
    <row r="799" spans="1:13" s="12" customFormat="1" ht="35.450000000000003" customHeight="1" x14ac:dyDescent="0.2">
      <c r="A799" s="85"/>
      <c r="B799" s="33" t="s">
        <v>76</v>
      </c>
      <c r="C799" s="42">
        <v>925</v>
      </c>
      <c r="D799" s="26" t="s">
        <v>8</v>
      </c>
      <c r="E799" s="26" t="s">
        <v>4</v>
      </c>
      <c r="F799" s="26" t="s">
        <v>41</v>
      </c>
      <c r="G799" s="42">
        <v>2</v>
      </c>
      <c r="H799" s="26" t="s">
        <v>4</v>
      </c>
      <c r="I799" s="26" t="s">
        <v>354</v>
      </c>
      <c r="J799" s="26" t="s">
        <v>77</v>
      </c>
      <c r="K799" s="17">
        <v>597.6</v>
      </c>
      <c r="L799" s="17">
        <v>597.6</v>
      </c>
      <c r="M799" s="17">
        <f t="shared" si="100"/>
        <v>100</v>
      </c>
    </row>
    <row r="800" spans="1:13" s="12" customFormat="1" ht="33" customHeight="1" x14ac:dyDescent="0.2">
      <c r="A800" s="85"/>
      <c r="B800" s="50" t="s">
        <v>217</v>
      </c>
      <c r="C800" s="42">
        <v>925</v>
      </c>
      <c r="D800" s="26" t="s">
        <v>8</v>
      </c>
      <c r="E800" s="26" t="s">
        <v>4</v>
      </c>
      <c r="F800" s="13" t="s">
        <v>41</v>
      </c>
      <c r="G800" s="13" t="s">
        <v>204</v>
      </c>
      <c r="H800" s="13"/>
      <c r="I800" s="13"/>
      <c r="J800" s="26"/>
      <c r="K800" s="17">
        <f>SUM(K801)</f>
        <v>47480.6</v>
      </c>
      <c r="L800" s="17">
        <f>SUM(L801)</f>
        <v>32004.6</v>
      </c>
      <c r="M800" s="17">
        <f t="shared" si="100"/>
        <v>67.40563514361655</v>
      </c>
    </row>
    <row r="801" spans="1:13" s="12" customFormat="1" ht="47.45" customHeight="1" x14ac:dyDescent="0.2">
      <c r="A801" s="85"/>
      <c r="B801" s="50" t="s">
        <v>203</v>
      </c>
      <c r="C801" s="42">
        <v>925</v>
      </c>
      <c r="D801" s="26" t="s">
        <v>8</v>
      </c>
      <c r="E801" s="26" t="s">
        <v>4</v>
      </c>
      <c r="F801" s="13" t="s">
        <v>41</v>
      </c>
      <c r="G801" s="13" t="s">
        <v>204</v>
      </c>
      <c r="H801" s="13" t="s">
        <v>2</v>
      </c>
      <c r="I801" s="13"/>
      <c r="J801" s="26"/>
      <c r="K801" s="17">
        <f>SUM(K802)</f>
        <v>47480.6</v>
      </c>
      <c r="L801" s="17">
        <f>SUM(L802)</f>
        <v>32004.6</v>
      </c>
      <c r="M801" s="17">
        <f t="shared" si="100"/>
        <v>67.40563514361655</v>
      </c>
    </row>
    <row r="802" spans="1:13" s="12" customFormat="1" ht="82.9" customHeight="1" x14ac:dyDescent="0.2">
      <c r="A802" s="85"/>
      <c r="B802" s="50" t="s">
        <v>285</v>
      </c>
      <c r="C802" s="42">
        <v>925</v>
      </c>
      <c r="D802" s="26" t="s">
        <v>8</v>
      </c>
      <c r="E802" s="26" t="s">
        <v>4</v>
      </c>
      <c r="F802" s="13" t="s">
        <v>41</v>
      </c>
      <c r="G802" s="13" t="s">
        <v>204</v>
      </c>
      <c r="H802" s="13" t="s">
        <v>2</v>
      </c>
      <c r="I802" s="13" t="s">
        <v>226</v>
      </c>
      <c r="J802" s="26"/>
      <c r="K802" s="17">
        <f t="shared" ref="K802:L802" si="102">SUM(K803)</f>
        <v>47480.6</v>
      </c>
      <c r="L802" s="17">
        <f t="shared" si="102"/>
        <v>32004.6</v>
      </c>
      <c r="M802" s="17">
        <f t="shared" si="100"/>
        <v>67.40563514361655</v>
      </c>
    </row>
    <row r="803" spans="1:13" s="12" customFormat="1" ht="37.15" customHeight="1" x14ac:dyDescent="0.2">
      <c r="A803" s="85"/>
      <c r="B803" s="33" t="s">
        <v>76</v>
      </c>
      <c r="C803" s="42">
        <v>925</v>
      </c>
      <c r="D803" s="26" t="s">
        <v>8</v>
      </c>
      <c r="E803" s="26" t="s">
        <v>4</v>
      </c>
      <c r="F803" s="13" t="s">
        <v>41</v>
      </c>
      <c r="G803" s="13" t="s">
        <v>204</v>
      </c>
      <c r="H803" s="13" t="s">
        <v>2</v>
      </c>
      <c r="I803" s="13" t="s">
        <v>226</v>
      </c>
      <c r="J803" s="26" t="s">
        <v>77</v>
      </c>
      <c r="K803" s="17">
        <f>21778.8+5020.4+2413+20057.5+1484+1523.7+75.1-19395.6+237.6-2737.1-2413+19395.6+0.1-341.9+136.8-407.6+82.3+100.6+405.3+65</f>
        <v>47480.6</v>
      </c>
      <c r="L803" s="17">
        <v>32004.6</v>
      </c>
      <c r="M803" s="17">
        <f t="shared" si="100"/>
        <v>67.40563514361655</v>
      </c>
    </row>
    <row r="804" spans="1:13" s="12" customFormat="1" ht="46.9" customHeight="1" x14ac:dyDescent="0.2">
      <c r="A804" s="85"/>
      <c r="B804" s="33" t="s">
        <v>84</v>
      </c>
      <c r="C804" s="42">
        <v>925</v>
      </c>
      <c r="D804" s="26" t="s">
        <v>8</v>
      </c>
      <c r="E804" s="26" t="s">
        <v>4</v>
      </c>
      <c r="F804" s="13" t="s">
        <v>141</v>
      </c>
      <c r="G804" s="25"/>
      <c r="H804" s="13"/>
      <c r="I804" s="13"/>
      <c r="J804" s="26"/>
      <c r="K804" s="17">
        <f t="shared" ref="K804:L806" si="103">K805</f>
        <v>2930.1000000000004</v>
      </c>
      <c r="L804" s="17">
        <f t="shared" si="103"/>
        <v>2678.1</v>
      </c>
      <c r="M804" s="17">
        <f t="shared" si="100"/>
        <v>91.39961093478037</v>
      </c>
    </row>
    <row r="805" spans="1:13" s="12" customFormat="1" ht="18.600000000000001" customHeight="1" x14ac:dyDescent="0.2">
      <c r="A805" s="85"/>
      <c r="B805" s="33" t="s">
        <v>64</v>
      </c>
      <c r="C805" s="42">
        <v>925</v>
      </c>
      <c r="D805" s="26" t="s">
        <v>8</v>
      </c>
      <c r="E805" s="26" t="s">
        <v>4</v>
      </c>
      <c r="F805" s="13" t="s">
        <v>141</v>
      </c>
      <c r="G805" s="25">
        <v>2</v>
      </c>
      <c r="H805" s="13"/>
      <c r="I805" s="13"/>
      <c r="J805" s="26"/>
      <c r="K805" s="17">
        <f t="shared" si="103"/>
        <v>2930.1000000000004</v>
      </c>
      <c r="L805" s="17">
        <f t="shared" si="103"/>
        <v>2678.1</v>
      </c>
      <c r="M805" s="17">
        <f t="shared" si="100"/>
        <v>91.39961093478037</v>
      </c>
    </row>
    <row r="806" spans="1:13" s="12" customFormat="1" ht="35.25" customHeight="1" x14ac:dyDescent="0.2">
      <c r="A806" s="85"/>
      <c r="B806" s="33" t="s">
        <v>83</v>
      </c>
      <c r="C806" s="42">
        <v>925</v>
      </c>
      <c r="D806" s="26" t="s">
        <v>8</v>
      </c>
      <c r="E806" s="26" t="s">
        <v>4</v>
      </c>
      <c r="F806" s="13" t="s">
        <v>141</v>
      </c>
      <c r="G806" s="25">
        <v>2</v>
      </c>
      <c r="H806" s="13" t="s">
        <v>102</v>
      </c>
      <c r="I806" s="13" t="s">
        <v>143</v>
      </c>
      <c r="J806" s="26"/>
      <c r="K806" s="17">
        <f t="shared" si="103"/>
        <v>2930.1000000000004</v>
      </c>
      <c r="L806" s="17">
        <f t="shared" si="103"/>
        <v>2678.1</v>
      </c>
      <c r="M806" s="17">
        <f t="shared" si="100"/>
        <v>91.39961093478037</v>
      </c>
    </row>
    <row r="807" spans="1:13" s="12" customFormat="1" ht="33" customHeight="1" x14ac:dyDescent="0.2">
      <c r="A807" s="85"/>
      <c r="B807" s="33" t="s">
        <v>76</v>
      </c>
      <c r="C807" s="42">
        <v>925</v>
      </c>
      <c r="D807" s="26" t="s">
        <v>8</v>
      </c>
      <c r="E807" s="26" t="s">
        <v>4</v>
      </c>
      <c r="F807" s="13" t="s">
        <v>141</v>
      </c>
      <c r="G807" s="25">
        <v>2</v>
      </c>
      <c r="H807" s="13" t="s">
        <v>102</v>
      </c>
      <c r="I807" s="13" t="s">
        <v>143</v>
      </c>
      <c r="J807" s="26" t="s">
        <v>77</v>
      </c>
      <c r="K807" s="17">
        <f>1237.5+627.8+562.5+317.8+184.5</f>
        <v>2930.1000000000004</v>
      </c>
      <c r="L807" s="17">
        <v>2678.1</v>
      </c>
      <c r="M807" s="17">
        <f t="shared" si="100"/>
        <v>91.39961093478037</v>
      </c>
    </row>
    <row r="808" spans="1:13" s="12" customFormat="1" x14ac:dyDescent="0.2">
      <c r="A808" s="85"/>
      <c r="B808" s="33" t="s">
        <v>219</v>
      </c>
      <c r="C808" s="42">
        <v>925</v>
      </c>
      <c r="D808" s="26" t="s">
        <v>8</v>
      </c>
      <c r="E808" s="26" t="s">
        <v>5</v>
      </c>
      <c r="F808" s="13"/>
      <c r="G808" s="13"/>
      <c r="H808" s="13"/>
      <c r="I808" s="13"/>
      <c r="J808" s="26"/>
      <c r="K808" s="17">
        <f>SUM(K809+K824+K831)</f>
        <v>75424.800000000003</v>
      </c>
      <c r="L808" s="17">
        <f>SUM(L809+L824+L831)</f>
        <v>51249.8</v>
      </c>
      <c r="M808" s="17">
        <f t="shared" si="100"/>
        <v>67.948208016461436</v>
      </c>
    </row>
    <row r="809" spans="1:13" s="12" customFormat="1" ht="42.6" customHeight="1" x14ac:dyDescent="0.2">
      <c r="A809" s="85"/>
      <c r="B809" s="33" t="s">
        <v>218</v>
      </c>
      <c r="C809" s="42">
        <v>925</v>
      </c>
      <c r="D809" s="26" t="s">
        <v>8</v>
      </c>
      <c r="E809" s="26" t="s">
        <v>5</v>
      </c>
      <c r="F809" s="26" t="s">
        <v>2</v>
      </c>
      <c r="G809" s="42"/>
      <c r="H809" s="26"/>
      <c r="I809" s="26"/>
      <c r="J809" s="26"/>
      <c r="K809" s="17">
        <f t="shared" ref="K809:L820" si="104">SUM(K810)</f>
        <v>62690.5</v>
      </c>
      <c r="L809" s="17">
        <f t="shared" si="104"/>
        <v>41422.6</v>
      </c>
      <c r="M809" s="17">
        <f t="shared" si="100"/>
        <v>66.07476411896539</v>
      </c>
    </row>
    <row r="810" spans="1:13" s="12" customFormat="1" ht="55.9" customHeight="1" x14ac:dyDescent="0.2">
      <c r="A810" s="85"/>
      <c r="B810" s="50" t="s">
        <v>283</v>
      </c>
      <c r="C810" s="42">
        <v>925</v>
      </c>
      <c r="D810" s="26" t="s">
        <v>8</v>
      </c>
      <c r="E810" s="26" t="s">
        <v>5</v>
      </c>
      <c r="F810" s="26" t="s">
        <v>2</v>
      </c>
      <c r="G810" s="42">
        <v>1</v>
      </c>
      <c r="H810" s="26"/>
      <c r="I810" s="26"/>
      <c r="J810" s="26"/>
      <c r="K810" s="17">
        <f>SUM(K819+K816+K811)</f>
        <v>62690.5</v>
      </c>
      <c r="L810" s="17">
        <f>SUM(L819+L816+L811)</f>
        <v>41422.6</v>
      </c>
      <c r="M810" s="17">
        <f t="shared" si="100"/>
        <v>66.07476411896539</v>
      </c>
    </row>
    <row r="811" spans="1:13" s="12" customFormat="1" ht="86.45" customHeight="1" x14ac:dyDescent="0.2">
      <c r="A811" s="85"/>
      <c r="B811" s="50" t="s">
        <v>158</v>
      </c>
      <c r="C811" s="42">
        <v>925</v>
      </c>
      <c r="D811" s="26" t="s">
        <v>8</v>
      </c>
      <c r="E811" s="26" t="s">
        <v>5</v>
      </c>
      <c r="F811" s="26" t="s">
        <v>2</v>
      </c>
      <c r="G811" s="42">
        <v>1</v>
      </c>
      <c r="H811" s="26" t="s">
        <v>2</v>
      </c>
      <c r="I811" s="26"/>
      <c r="J811" s="26"/>
      <c r="K811" s="17">
        <f>SUM(K814+K812)</f>
        <v>1553.5</v>
      </c>
      <c r="L811" s="17">
        <f>SUM(L814+L812)</f>
        <v>1304.5999999999999</v>
      </c>
      <c r="M811" s="17">
        <f t="shared" si="100"/>
        <v>83.978113936272919</v>
      </c>
    </row>
    <row r="812" spans="1:13" s="12" customFormat="1" ht="55.9" customHeight="1" x14ac:dyDescent="0.2">
      <c r="A812" s="85"/>
      <c r="B812" s="50" t="s">
        <v>439</v>
      </c>
      <c r="C812" s="42">
        <v>925</v>
      </c>
      <c r="D812" s="26" t="s">
        <v>8</v>
      </c>
      <c r="E812" s="26" t="s">
        <v>5</v>
      </c>
      <c r="F812" s="26" t="s">
        <v>2</v>
      </c>
      <c r="G812" s="42">
        <v>1</v>
      </c>
      <c r="H812" s="26" t="s">
        <v>2</v>
      </c>
      <c r="I812" s="26" t="s">
        <v>438</v>
      </c>
      <c r="J812" s="26"/>
      <c r="K812" s="17">
        <f>K813</f>
        <v>570.20000000000005</v>
      </c>
      <c r="L812" s="17">
        <f>L813</f>
        <v>321.3</v>
      </c>
      <c r="M812" s="17">
        <f t="shared" si="100"/>
        <v>56.348649596632761</v>
      </c>
    </row>
    <row r="813" spans="1:13" s="12" customFormat="1" ht="38.450000000000003" customHeight="1" x14ac:dyDescent="0.2">
      <c r="A813" s="85"/>
      <c r="B813" s="33" t="s">
        <v>76</v>
      </c>
      <c r="C813" s="42">
        <v>925</v>
      </c>
      <c r="D813" s="26" t="s">
        <v>8</v>
      </c>
      <c r="E813" s="26" t="s">
        <v>5</v>
      </c>
      <c r="F813" s="26" t="s">
        <v>2</v>
      </c>
      <c r="G813" s="42">
        <v>1</v>
      </c>
      <c r="H813" s="26" t="s">
        <v>2</v>
      </c>
      <c r="I813" s="26" t="s">
        <v>438</v>
      </c>
      <c r="J813" s="26" t="s">
        <v>77</v>
      </c>
      <c r="K813" s="17">
        <v>570.20000000000005</v>
      </c>
      <c r="L813" s="17">
        <v>321.3</v>
      </c>
      <c r="M813" s="17">
        <f t="shared" si="100"/>
        <v>56.348649596632761</v>
      </c>
    </row>
    <row r="814" spans="1:13" s="12" customFormat="1" ht="36.6" customHeight="1" x14ac:dyDescent="0.2">
      <c r="A814" s="85"/>
      <c r="B814" s="33" t="s">
        <v>373</v>
      </c>
      <c r="C814" s="42">
        <v>925</v>
      </c>
      <c r="D814" s="26" t="s">
        <v>8</v>
      </c>
      <c r="E814" s="26" t="s">
        <v>5</v>
      </c>
      <c r="F814" s="26" t="s">
        <v>2</v>
      </c>
      <c r="G814" s="13" t="s">
        <v>126</v>
      </c>
      <c r="H814" s="13" t="s">
        <v>2</v>
      </c>
      <c r="I814" s="13" t="s">
        <v>397</v>
      </c>
      <c r="J814" s="26"/>
      <c r="K814" s="17">
        <f>K815</f>
        <v>983.3</v>
      </c>
      <c r="L814" s="17">
        <f>L815</f>
        <v>983.3</v>
      </c>
      <c r="M814" s="17">
        <f t="shared" si="100"/>
        <v>100</v>
      </c>
    </row>
    <row r="815" spans="1:13" s="12" customFormat="1" ht="34.9" customHeight="1" x14ac:dyDescent="0.2">
      <c r="A815" s="85"/>
      <c r="B815" s="33" t="s">
        <v>353</v>
      </c>
      <c r="C815" s="42">
        <v>925</v>
      </c>
      <c r="D815" s="26" t="s">
        <v>8</v>
      </c>
      <c r="E815" s="26" t="s">
        <v>5</v>
      </c>
      <c r="F815" s="26" t="s">
        <v>2</v>
      </c>
      <c r="G815" s="13" t="s">
        <v>126</v>
      </c>
      <c r="H815" s="13" t="s">
        <v>2</v>
      </c>
      <c r="I815" s="13" t="s">
        <v>397</v>
      </c>
      <c r="J815" s="26" t="s">
        <v>77</v>
      </c>
      <c r="K815" s="17">
        <f>860+123.3</f>
        <v>983.3</v>
      </c>
      <c r="L815" s="17">
        <v>983.3</v>
      </c>
      <c r="M815" s="17">
        <f t="shared" si="100"/>
        <v>100</v>
      </c>
    </row>
    <row r="816" spans="1:13" s="12" customFormat="1" ht="67.150000000000006" customHeight="1" x14ac:dyDescent="0.2">
      <c r="A816" s="85"/>
      <c r="B816" s="50" t="s">
        <v>152</v>
      </c>
      <c r="C816" s="42">
        <v>925</v>
      </c>
      <c r="D816" s="26" t="s">
        <v>8</v>
      </c>
      <c r="E816" s="26" t="s">
        <v>5</v>
      </c>
      <c r="F816" s="26" t="s">
        <v>2</v>
      </c>
      <c r="G816" s="42">
        <v>1</v>
      </c>
      <c r="H816" s="26" t="s">
        <v>6</v>
      </c>
      <c r="I816" s="26"/>
      <c r="J816" s="26"/>
      <c r="K816" s="17">
        <f>SUM(K817)</f>
        <v>31</v>
      </c>
      <c r="L816" s="17">
        <f>SUM(L817)</f>
        <v>18.8</v>
      </c>
      <c r="M816" s="17">
        <f t="shared" si="100"/>
        <v>60.645161290322577</v>
      </c>
    </row>
    <row r="817" spans="1:13" s="12" customFormat="1" ht="127.9" customHeight="1" x14ac:dyDescent="0.2">
      <c r="A817" s="85"/>
      <c r="B817" s="52" t="s">
        <v>359</v>
      </c>
      <c r="C817" s="42">
        <v>925</v>
      </c>
      <c r="D817" s="26" t="s">
        <v>8</v>
      </c>
      <c r="E817" s="26" t="s">
        <v>5</v>
      </c>
      <c r="F817" s="26" t="s">
        <v>2</v>
      </c>
      <c r="G817" s="42">
        <v>1</v>
      </c>
      <c r="H817" s="26" t="s">
        <v>6</v>
      </c>
      <c r="I817" s="26" t="s">
        <v>153</v>
      </c>
      <c r="J817" s="26"/>
      <c r="K817" s="17">
        <f>SUM(K818:K818)</f>
        <v>31</v>
      </c>
      <c r="L817" s="17">
        <f>SUM(L818:L818)</f>
        <v>18.8</v>
      </c>
      <c r="M817" s="17">
        <f t="shared" si="100"/>
        <v>60.645161290322577</v>
      </c>
    </row>
    <row r="818" spans="1:13" s="12" customFormat="1" ht="31.15" customHeight="1" x14ac:dyDescent="0.2">
      <c r="A818" s="85"/>
      <c r="B818" s="53" t="s">
        <v>173</v>
      </c>
      <c r="C818" s="42">
        <v>925</v>
      </c>
      <c r="D818" s="26" t="s">
        <v>8</v>
      </c>
      <c r="E818" s="26" t="s">
        <v>5</v>
      </c>
      <c r="F818" s="26" t="s">
        <v>2</v>
      </c>
      <c r="G818" s="42">
        <v>1</v>
      </c>
      <c r="H818" s="26" t="s">
        <v>6</v>
      </c>
      <c r="I818" s="26" t="s">
        <v>153</v>
      </c>
      <c r="J818" s="26" t="s">
        <v>77</v>
      </c>
      <c r="K818" s="17">
        <f>22.8+8.2</f>
        <v>31</v>
      </c>
      <c r="L818" s="17">
        <v>18.8</v>
      </c>
      <c r="M818" s="17">
        <f t="shared" si="100"/>
        <v>60.645161290322577</v>
      </c>
    </row>
    <row r="819" spans="1:13" s="12" customFormat="1" ht="78" customHeight="1" x14ac:dyDescent="0.2">
      <c r="A819" s="85"/>
      <c r="B819" s="50" t="s">
        <v>154</v>
      </c>
      <c r="C819" s="42">
        <v>925</v>
      </c>
      <c r="D819" s="26" t="s">
        <v>8</v>
      </c>
      <c r="E819" s="26" t="s">
        <v>5</v>
      </c>
      <c r="F819" s="26" t="s">
        <v>2</v>
      </c>
      <c r="G819" s="42">
        <v>1</v>
      </c>
      <c r="H819" s="26" t="s">
        <v>7</v>
      </c>
      <c r="I819" s="26" t="s">
        <v>103</v>
      </c>
      <c r="J819" s="26"/>
      <c r="K819" s="17">
        <f>SUM(K820+K822)</f>
        <v>61106</v>
      </c>
      <c r="L819" s="17">
        <f>SUM(L820+L822)</f>
        <v>40099.199999999997</v>
      </c>
      <c r="M819" s="17">
        <f t="shared" si="100"/>
        <v>65.62236114293195</v>
      </c>
    </row>
    <row r="820" spans="1:13" s="12" customFormat="1" ht="66.599999999999994" customHeight="1" x14ac:dyDescent="0.2">
      <c r="A820" s="85"/>
      <c r="B820" s="50" t="s">
        <v>157</v>
      </c>
      <c r="C820" s="42">
        <v>925</v>
      </c>
      <c r="D820" s="26" t="s">
        <v>8</v>
      </c>
      <c r="E820" s="26" t="s">
        <v>5</v>
      </c>
      <c r="F820" s="26" t="s">
        <v>2</v>
      </c>
      <c r="G820" s="42">
        <v>1</v>
      </c>
      <c r="H820" s="26" t="s">
        <v>7</v>
      </c>
      <c r="I820" s="26" t="s">
        <v>116</v>
      </c>
      <c r="J820" s="26"/>
      <c r="K820" s="17">
        <f t="shared" si="104"/>
        <v>37869.599999999999</v>
      </c>
      <c r="L820" s="17">
        <f t="shared" si="104"/>
        <v>33809.199999999997</v>
      </c>
      <c r="M820" s="17">
        <f t="shared" si="100"/>
        <v>89.277943257916633</v>
      </c>
    </row>
    <row r="821" spans="1:13" s="12" customFormat="1" ht="33" customHeight="1" x14ac:dyDescent="0.2">
      <c r="A821" s="85"/>
      <c r="B821" s="53" t="s">
        <v>76</v>
      </c>
      <c r="C821" s="42">
        <v>925</v>
      </c>
      <c r="D821" s="26" t="s">
        <v>8</v>
      </c>
      <c r="E821" s="26" t="s">
        <v>5</v>
      </c>
      <c r="F821" s="26" t="s">
        <v>2</v>
      </c>
      <c r="G821" s="42">
        <v>1</v>
      </c>
      <c r="H821" s="26" t="s">
        <v>7</v>
      </c>
      <c r="I821" s="26" t="s">
        <v>116</v>
      </c>
      <c r="J821" s="26" t="s">
        <v>77</v>
      </c>
      <c r="K821" s="17">
        <f>32860+5009.6</f>
        <v>37869.599999999999</v>
      </c>
      <c r="L821" s="17">
        <v>33809.199999999997</v>
      </c>
      <c r="M821" s="17">
        <f t="shared" si="100"/>
        <v>89.277943257916633</v>
      </c>
    </row>
    <row r="822" spans="1:13" s="12" customFormat="1" ht="46.15" customHeight="1" x14ac:dyDescent="0.2">
      <c r="A822" s="85"/>
      <c r="B822" s="53" t="s">
        <v>471</v>
      </c>
      <c r="C822" s="42">
        <v>925</v>
      </c>
      <c r="D822" s="26" t="s">
        <v>8</v>
      </c>
      <c r="E822" s="26" t="s">
        <v>5</v>
      </c>
      <c r="F822" s="26" t="s">
        <v>2</v>
      </c>
      <c r="G822" s="42">
        <v>1</v>
      </c>
      <c r="H822" s="26" t="s">
        <v>7</v>
      </c>
      <c r="I822" s="26" t="s">
        <v>470</v>
      </c>
      <c r="J822" s="26"/>
      <c r="K822" s="17">
        <f>K823</f>
        <v>23236.400000000001</v>
      </c>
      <c r="L822" s="17">
        <f>L823</f>
        <v>6290</v>
      </c>
      <c r="M822" s="17">
        <f t="shared" si="100"/>
        <v>27.069597700160092</v>
      </c>
    </row>
    <row r="823" spans="1:13" s="12" customFormat="1" ht="31.15" customHeight="1" x14ac:dyDescent="0.2">
      <c r="A823" s="85"/>
      <c r="B823" s="53" t="s">
        <v>76</v>
      </c>
      <c r="C823" s="42">
        <v>925</v>
      </c>
      <c r="D823" s="26" t="s">
        <v>8</v>
      </c>
      <c r="E823" s="26" t="s">
        <v>5</v>
      </c>
      <c r="F823" s="26" t="s">
        <v>2</v>
      </c>
      <c r="G823" s="42">
        <v>1</v>
      </c>
      <c r="H823" s="26" t="s">
        <v>7</v>
      </c>
      <c r="I823" s="26" t="s">
        <v>470</v>
      </c>
      <c r="J823" s="26" t="s">
        <v>77</v>
      </c>
      <c r="K823" s="17">
        <f>14070.9+9165.5</f>
        <v>23236.400000000001</v>
      </c>
      <c r="L823" s="17">
        <v>6290</v>
      </c>
      <c r="M823" s="17">
        <f t="shared" si="100"/>
        <v>27.069597700160092</v>
      </c>
    </row>
    <row r="824" spans="1:13" s="12" customFormat="1" ht="34.15" customHeight="1" x14ac:dyDescent="0.2">
      <c r="A824" s="85"/>
      <c r="B824" s="50" t="s">
        <v>352</v>
      </c>
      <c r="C824" s="42">
        <v>925</v>
      </c>
      <c r="D824" s="26" t="s">
        <v>8</v>
      </c>
      <c r="E824" s="26" t="s">
        <v>5</v>
      </c>
      <c r="F824" s="13" t="s">
        <v>4</v>
      </c>
      <c r="G824" s="42"/>
      <c r="H824" s="26"/>
      <c r="I824" s="26"/>
      <c r="J824" s="26"/>
      <c r="K824" s="17">
        <f>SUM(K825)</f>
        <v>3338.5999999999995</v>
      </c>
      <c r="L824" s="17">
        <f>SUM(L825)</f>
        <v>3331.8</v>
      </c>
      <c r="M824" s="17">
        <f t="shared" si="100"/>
        <v>99.796321811537794</v>
      </c>
    </row>
    <row r="825" spans="1:13" s="12" customFormat="1" ht="31.15" customHeight="1" x14ac:dyDescent="0.2">
      <c r="A825" s="85"/>
      <c r="B825" s="50" t="s">
        <v>146</v>
      </c>
      <c r="C825" s="42">
        <v>925</v>
      </c>
      <c r="D825" s="26" t="s">
        <v>8</v>
      </c>
      <c r="E825" s="26" t="s">
        <v>5</v>
      </c>
      <c r="F825" s="13" t="s">
        <v>4</v>
      </c>
      <c r="G825" s="13" t="s">
        <v>126</v>
      </c>
      <c r="H825" s="13"/>
      <c r="I825" s="13"/>
      <c r="J825" s="26"/>
      <c r="K825" s="17">
        <f>K826</f>
        <v>3338.5999999999995</v>
      </c>
      <c r="L825" s="17">
        <f>L826</f>
        <v>3331.8</v>
      </c>
      <c r="M825" s="17">
        <f t="shared" si="100"/>
        <v>99.796321811537794</v>
      </c>
    </row>
    <row r="826" spans="1:13" s="12" customFormat="1" ht="66.599999999999994" customHeight="1" x14ac:dyDescent="0.2">
      <c r="A826" s="85"/>
      <c r="B826" s="50" t="s">
        <v>147</v>
      </c>
      <c r="C826" s="42">
        <v>925</v>
      </c>
      <c r="D826" s="26" t="s">
        <v>8</v>
      </c>
      <c r="E826" s="26" t="s">
        <v>5</v>
      </c>
      <c r="F826" s="13" t="s">
        <v>4</v>
      </c>
      <c r="G826" s="13" t="s">
        <v>126</v>
      </c>
      <c r="H826" s="13" t="s">
        <v>2</v>
      </c>
      <c r="I826" s="13"/>
      <c r="J826" s="26"/>
      <c r="K826" s="17">
        <f>K827+K829</f>
        <v>3338.5999999999995</v>
      </c>
      <c r="L826" s="17">
        <f>L827+L829</f>
        <v>3331.8</v>
      </c>
      <c r="M826" s="17">
        <f t="shared" si="100"/>
        <v>99.796321811537794</v>
      </c>
    </row>
    <row r="827" spans="1:13" s="12" customFormat="1" ht="47.45" customHeight="1" x14ac:dyDescent="0.2">
      <c r="A827" s="85"/>
      <c r="B827" s="50" t="s">
        <v>400</v>
      </c>
      <c r="C827" s="42">
        <v>925</v>
      </c>
      <c r="D827" s="26" t="s">
        <v>8</v>
      </c>
      <c r="E827" s="26" t="s">
        <v>5</v>
      </c>
      <c r="F827" s="13" t="s">
        <v>4</v>
      </c>
      <c r="G827" s="13" t="s">
        <v>126</v>
      </c>
      <c r="H827" s="13" t="s">
        <v>2</v>
      </c>
      <c r="I827" s="13" t="s">
        <v>351</v>
      </c>
      <c r="J827" s="26"/>
      <c r="K827" s="17">
        <f>SUM(K828)</f>
        <v>2301.8999999999996</v>
      </c>
      <c r="L827" s="17">
        <f>SUM(L828)</f>
        <v>2295.1</v>
      </c>
      <c r="M827" s="17">
        <f t="shared" si="100"/>
        <v>99.704591858899178</v>
      </c>
    </row>
    <row r="828" spans="1:13" s="12" customFormat="1" ht="33.6" customHeight="1" x14ac:dyDescent="0.2">
      <c r="A828" s="85"/>
      <c r="B828" s="33" t="s">
        <v>353</v>
      </c>
      <c r="C828" s="42">
        <v>925</v>
      </c>
      <c r="D828" s="26" t="s">
        <v>8</v>
      </c>
      <c r="E828" s="26" t="s">
        <v>5</v>
      </c>
      <c r="F828" s="13" t="s">
        <v>4</v>
      </c>
      <c r="G828" s="13" t="s">
        <v>126</v>
      </c>
      <c r="H828" s="13" t="s">
        <v>2</v>
      </c>
      <c r="I828" s="13" t="s">
        <v>351</v>
      </c>
      <c r="J828" s="26" t="s">
        <v>77</v>
      </c>
      <c r="K828" s="17">
        <f>1410.1+428.1+463.7</f>
        <v>2301.8999999999996</v>
      </c>
      <c r="L828" s="17">
        <v>2295.1</v>
      </c>
      <c r="M828" s="17">
        <f t="shared" si="100"/>
        <v>99.704591858899178</v>
      </c>
    </row>
    <row r="829" spans="1:13" s="12" customFormat="1" ht="31.5" x14ac:dyDescent="0.2">
      <c r="A829" s="85"/>
      <c r="B829" s="33" t="s">
        <v>373</v>
      </c>
      <c r="C829" s="42">
        <v>925</v>
      </c>
      <c r="D829" s="26" t="s">
        <v>8</v>
      </c>
      <c r="E829" s="26" t="s">
        <v>5</v>
      </c>
      <c r="F829" s="26" t="s">
        <v>4</v>
      </c>
      <c r="G829" s="13" t="s">
        <v>126</v>
      </c>
      <c r="H829" s="13" t="s">
        <v>2</v>
      </c>
      <c r="I829" s="13" t="s">
        <v>397</v>
      </c>
      <c r="J829" s="26"/>
      <c r="K829" s="17">
        <f>K830</f>
        <v>1036.7</v>
      </c>
      <c r="L829" s="17">
        <f>L830</f>
        <v>1036.7</v>
      </c>
      <c r="M829" s="17">
        <f t="shared" si="100"/>
        <v>100</v>
      </c>
    </row>
    <row r="830" spans="1:13" s="12" customFormat="1" ht="32.450000000000003" customHeight="1" x14ac:dyDescent="0.2">
      <c r="A830" s="85"/>
      <c r="B830" s="33" t="s">
        <v>353</v>
      </c>
      <c r="C830" s="42">
        <v>925</v>
      </c>
      <c r="D830" s="26" t="s">
        <v>8</v>
      </c>
      <c r="E830" s="26" t="s">
        <v>5</v>
      </c>
      <c r="F830" s="26" t="s">
        <v>4</v>
      </c>
      <c r="G830" s="13" t="s">
        <v>126</v>
      </c>
      <c r="H830" s="13" t="s">
        <v>2</v>
      </c>
      <c r="I830" s="13" t="s">
        <v>397</v>
      </c>
      <c r="J830" s="26" t="s">
        <v>77</v>
      </c>
      <c r="K830" s="17">
        <f>1160-123.3</f>
        <v>1036.7</v>
      </c>
      <c r="L830" s="17">
        <v>1036.7</v>
      </c>
      <c r="M830" s="17">
        <f t="shared" si="100"/>
        <v>100</v>
      </c>
    </row>
    <row r="831" spans="1:13" s="12" customFormat="1" ht="50.45" customHeight="1" x14ac:dyDescent="0.2">
      <c r="A831" s="85"/>
      <c r="B831" s="53" t="s">
        <v>216</v>
      </c>
      <c r="C831" s="42">
        <v>925</v>
      </c>
      <c r="D831" s="26" t="s">
        <v>8</v>
      </c>
      <c r="E831" s="26" t="s">
        <v>5</v>
      </c>
      <c r="F831" s="26" t="s">
        <v>41</v>
      </c>
      <c r="G831" s="42"/>
      <c r="H831" s="26"/>
      <c r="I831" s="26"/>
      <c r="J831" s="26"/>
      <c r="K831" s="17">
        <f>K832+K836</f>
        <v>9395.6999999999989</v>
      </c>
      <c r="L831" s="17">
        <f>L832+L836</f>
        <v>6495.4000000000005</v>
      </c>
      <c r="M831" s="17">
        <f t="shared" si="100"/>
        <v>69.131624040784629</v>
      </c>
    </row>
    <row r="832" spans="1:13" s="12" customFormat="1" x14ac:dyDescent="0.2">
      <c r="A832" s="85"/>
      <c r="B832" s="50" t="s">
        <v>277</v>
      </c>
      <c r="C832" s="42">
        <v>925</v>
      </c>
      <c r="D832" s="26" t="s">
        <v>8</v>
      </c>
      <c r="E832" s="26" t="s">
        <v>5</v>
      </c>
      <c r="F832" s="26" t="s">
        <v>41</v>
      </c>
      <c r="G832" s="42">
        <v>2</v>
      </c>
      <c r="H832" s="26"/>
      <c r="I832" s="26"/>
      <c r="J832" s="26"/>
      <c r="K832" s="17">
        <f t="shared" ref="K832:L834" si="105">K833</f>
        <v>176.3</v>
      </c>
      <c r="L832" s="17">
        <f t="shared" si="105"/>
        <v>176.3</v>
      </c>
      <c r="M832" s="17">
        <f t="shared" si="100"/>
        <v>100</v>
      </c>
    </row>
    <row r="833" spans="1:13" s="12" customFormat="1" ht="31.5" x14ac:dyDescent="0.2">
      <c r="A833" s="85"/>
      <c r="B833" s="50" t="s">
        <v>355</v>
      </c>
      <c r="C833" s="42">
        <v>925</v>
      </c>
      <c r="D833" s="26" t="s">
        <v>8</v>
      </c>
      <c r="E833" s="26" t="s">
        <v>5</v>
      </c>
      <c r="F833" s="26" t="s">
        <v>41</v>
      </c>
      <c r="G833" s="42">
        <v>2</v>
      </c>
      <c r="H833" s="26" t="s">
        <v>4</v>
      </c>
      <c r="I833" s="26"/>
      <c r="J833" s="26"/>
      <c r="K833" s="17">
        <f t="shared" si="105"/>
        <v>176.3</v>
      </c>
      <c r="L833" s="17">
        <f t="shared" si="105"/>
        <v>176.3</v>
      </c>
      <c r="M833" s="17">
        <f t="shared" si="100"/>
        <v>100</v>
      </c>
    </row>
    <row r="834" spans="1:13" s="12" customFormat="1" ht="64.150000000000006" customHeight="1" x14ac:dyDescent="0.2">
      <c r="A834" s="85"/>
      <c r="B834" s="50" t="s">
        <v>401</v>
      </c>
      <c r="C834" s="42">
        <v>925</v>
      </c>
      <c r="D834" s="26" t="s">
        <v>8</v>
      </c>
      <c r="E834" s="26" t="s">
        <v>5</v>
      </c>
      <c r="F834" s="26" t="s">
        <v>41</v>
      </c>
      <c r="G834" s="42">
        <v>2</v>
      </c>
      <c r="H834" s="26" t="s">
        <v>4</v>
      </c>
      <c r="I834" s="26" t="s">
        <v>354</v>
      </c>
      <c r="J834" s="26"/>
      <c r="K834" s="17">
        <f t="shared" si="105"/>
        <v>176.3</v>
      </c>
      <c r="L834" s="17">
        <f t="shared" si="105"/>
        <v>176.3</v>
      </c>
      <c r="M834" s="17">
        <f t="shared" si="100"/>
        <v>100</v>
      </c>
    </row>
    <row r="835" spans="1:13" s="12" customFormat="1" ht="31.5" x14ac:dyDescent="0.2">
      <c r="A835" s="85"/>
      <c r="B835" s="33" t="s">
        <v>76</v>
      </c>
      <c r="C835" s="42">
        <v>925</v>
      </c>
      <c r="D835" s="26" t="s">
        <v>8</v>
      </c>
      <c r="E835" s="26" t="s">
        <v>5</v>
      </c>
      <c r="F835" s="26" t="s">
        <v>41</v>
      </c>
      <c r="G835" s="42">
        <v>2</v>
      </c>
      <c r="H835" s="26" t="s">
        <v>4</v>
      </c>
      <c r="I835" s="26" t="s">
        <v>354</v>
      </c>
      <c r="J835" s="26" t="s">
        <v>77</v>
      </c>
      <c r="K835" s="17">
        <v>176.3</v>
      </c>
      <c r="L835" s="17">
        <v>176.3</v>
      </c>
      <c r="M835" s="17">
        <f t="shared" si="100"/>
        <v>100</v>
      </c>
    </row>
    <row r="836" spans="1:13" s="12" customFormat="1" ht="47.25" x14ac:dyDescent="0.2">
      <c r="A836" s="85"/>
      <c r="B836" s="53" t="s">
        <v>217</v>
      </c>
      <c r="C836" s="42">
        <v>925</v>
      </c>
      <c r="D836" s="26" t="s">
        <v>8</v>
      </c>
      <c r="E836" s="26" t="s">
        <v>5</v>
      </c>
      <c r="F836" s="26" t="s">
        <v>41</v>
      </c>
      <c r="G836" s="42">
        <v>5</v>
      </c>
      <c r="H836" s="26"/>
      <c r="I836" s="26"/>
      <c r="J836" s="26"/>
      <c r="K836" s="17">
        <f t="shared" ref="K836:L838" si="106">K837</f>
        <v>9219.4</v>
      </c>
      <c r="L836" s="17">
        <f t="shared" si="106"/>
        <v>6319.1</v>
      </c>
      <c r="M836" s="17">
        <f t="shared" si="100"/>
        <v>68.541336746426012</v>
      </c>
    </row>
    <row r="837" spans="1:13" s="12" customFormat="1" ht="49.15" customHeight="1" x14ac:dyDescent="0.2">
      <c r="A837" s="85"/>
      <c r="B837" s="53" t="s">
        <v>203</v>
      </c>
      <c r="C837" s="42">
        <v>925</v>
      </c>
      <c r="D837" s="26" t="s">
        <v>8</v>
      </c>
      <c r="E837" s="26" t="s">
        <v>5</v>
      </c>
      <c r="F837" s="26" t="s">
        <v>41</v>
      </c>
      <c r="G837" s="42">
        <v>5</v>
      </c>
      <c r="H837" s="26" t="s">
        <v>2</v>
      </c>
      <c r="I837" s="26"/>
      <c r="J837" s="26"/>
      <c r="K837" s="17">
        <f t="shared" si="106"/>
        <v>9219.4</v>
      </c>
      <c r="L837" s="17">
        <f t="shared" si="106"/>
        <v>6319.1</v>
      </c>
      <c r="M837" s="17">
        <f t="shared" si="100"/>
        <v>68.541336746426012</v>
      </c>
    </row>
    <row r="838" spans="1:13" s="12" customFormat="1" ht="79.150000000000006" customHeight="1" x14ac:dyDescent="0.2">
      <c r="A838" s="85"/>
      <c r="B838" s="53" t="s">
        <v>285</v>
      </c>
      <c r="C838" s="42">
        <v>925</v>
      </c>
      <c r="D838" s="26" t="s">
        <v>8</v>
      </c>
      <c r="E838" s="26" t="s">
        <v>5</v>
      </c>
      <c r="F838" s="26" t="s">
        <v>41</v>
      </c>
      <c r="G838" s="42">
        <v>5</v>
      </c>
      <c r="H838" s="26" t="s">
        <v>2</v>
      </c>
      <c r="I838" s="26" t="s">
        <v>226</v>
      </c>
      <c r="J838" s="26"/>
      <c r="K838" s="17">
        <f t="shared" si="106"/>
        <v>9219.4</v>
      </c>
      <c r="L838" s="17">
        <f t="shared" si="106"/>
        <v>6319.1</v>
      </c>
      <c r="M838" s="17">
        <f t="shared" si="100"/>
        <v>68.541336746426012</v>
      </c>
    </row>
    <row r="839" spans="1:13" s="12" customFormat="1" ht="34.9" customHeight="1" x14ac:dyDescent="0.2">
      <c r="A839" s="85"/>
      <c r="B839" s="53" t="s">
        <v>173</v>
      </c>
      <c r="C839" s="42">
        <v>925</v>
      </c>
      <c r="D839" s="26" t="s">
        <v>8</v>
      </c>
      <c r="E839" s="26" t="s">
        <v>5</v>
      </c>
      <c r="F839" s="26" t="s">
        <v>41</v>
      </c>
      <c r="G839" s="42">
        <v>5</v>
      </c>
      <c r="H839" s="26" t="s">
        <v>2</v>
      </c>
      <c r="I839" s="26" t="s">
        <v>226</v>
      </c>
      <c r="J839" s="26" t="s">
        <v>77</v>
      </c>
      <c r="K839" s="17">
        <f>4038.2+583.7+4196.6+159.9+0.2+209.9+30.9</f>
        <v>9219.4</v>
      </c>
      <c r="L839" s="17">
        <v>6319.1</v>
      </c>
      <c r="M839" s="17">
        <f t="shared" si="100"/>
        <v>68.541336746426012</v>
      </c>
    </row>
    <row r="840" spans="1:13" s="12" customFormat="1" ht="33.6" customHeight="1" x14ac:dyDescent="0.2">
      <c r="A840" s="85"/>
      <c r="B840" s="33" t="s">
        <v>457</v>
      </c>
      <c r="C840" s="42">
        <v>925</v>
      </c>
      <c r="D840" s="26" t="s">
        <v>8</v>
      </c>
      <c r="E840" s="13" t="s">
        <v>7</v>
      </c>
      <c r="F840" s="13"/>
      <c r="G840" s="13"/>
      <c r="H840" s="13"/>
      <c r="I840" s="13"/>
      <c r="J840" s="26"/>
      <c r="K840" s="17">
        <f t="shared" ref="K840:L844" si="107">SUM(K841)</f>
        <v>19.600000000000001</v>
      </c>
      <c r="L840" s="17">
        <f t="shared" si="107"/>
        <v>0</v>
      </c>
      <c r="M840" s="17">
        <f t="shared" si="100"/>
        <v>0</v>
      </c>
    </row>
    <row r="841" spans="1:13" s="12" customFormat="1" ht="32.450000000000003" customHeight="1" x14ac:dyDescent="0.2">
      <c r="A841" s="85"/>
      <c r="B841" s="33" t="s">
        <v>218</v>
      </c>
      <c r="C841" s="42">
        <v>925</v>
      </c>
      <c r="D841" s="13" t="s">
        <v>8</v>
      </c>
      <c r="E841" s="13" t="s">
        <v>7</v>
      </c>
      <c r="F841" s="13" t="s">
        <v>2</v>
      </c>
      <c r="G841" s="13"/>
      <c r="H841" s="13"/>
      <c r="I841" s="13"/>
      <c r="J841" s="26"/>
      <c r="K841" s="17">
        <f t="shared" si="107"/>
        <v>19.600000000000001</v>
      </c>
      <c r="L841" s="17">
        <f t="shared" si="107"/>
        <v>0</v>
      </c>
      <c r="M841" s="17">
        <f t="shared" si="100"/>
        <v>0</v>
      </c>
    </row>
    <row r="842" spans="1:13" s="12" customFormat="1" ht="48" customHeight="1" x14ac:dyDescent="0.2">
      <c r="A842" s="85"/>
      <c r="B842" s="33" t="s">
        <v>283</v>
      </c>
      <c r="C842" s="42">
        <v>925</v>
      </c>
      <c r="D842" s="13" t="s">
        <v>8</v>
      </c>
      <c r="E842" s="13" t="s">
        <v>7</v>
      </c>
      <c r="F842" s="13" t="s">
        <v>2</v>
      </c>
      <c r="G842" s="13" t="s">
        <v>126</v>
      </c>
      <c r="H842" s="13"/>
      <c r="I842" s="13"/>
      <c r="J842" s="26"/>
      <c r="K842" s="17">
        <f t="shared" si="107"/>
        <v>19.600000000000001</v>
      </c>
      <c r="L842" s="17">
        <f t="shared" si="107"/>
        <v>0</v>
      </c>
      <c r="M842" s="17">
        <f t="shared" si="100"/>
        <v>0</v>
      </c>
    </row>
    <row r="843" spans="1:13" s="12" customFormat="1" ht="79.900000000000006" customHeight="1" x14ac:dyDescent="0.2">
      <c r="A843" s="85"/>
      <c r="B843" s="50" t="s">
        <v>154</v>
      </c>
      <c r="C843" s="42">
        <v>925</v>
      </c>
      <c r="D843" s="13" t="s">
        <v>8</v>
      </c>
      <c r="E843" s="13" t="s">
        <v>7</v>
      </c>
      <c r="F843" s="13" t="s">
        <v>2</v>
      </c>
      <c r="G843" s="13" t="s">
        <v>126</v>
      </c>
      <c r="H843" s="13" t="s">
        <v>7</v>
      </c>
      <c r="I843" s="13"/>
      <c r="J843" s="26"/>
      <c r="K843" s="17">
        <f t="shared" si="107"/>
        <v>19.600000000000001</v>
      </c>
      <c r="L843" s="17">
        <f t="shared" si="107"/>
        <v>0</v>
      </c>
      <c r="M843" s="17">
        <f t="shared" si="100"/>
        <v>0</v>
      </c>
    </row>
    <row r="844" spans="1:13" s="12" customFormat="1" ht="30" customHeight="1" x14ac:dyDescent="0.2">
      <c r="A844" s="85"/>
      <c r="B844" s="33" t="s">
        <v>459</v>
      </c>
      <c r="C844" s="42">
        <v>925</v>
      </c>
      <c r="D844" s="13" t="s">
        <v>8</v>
      </c>
      <c r="E844" s="13" t="s">
        <v>7</v>
      </c>
      <c r="F844" s="13" t="s">
        <v>2</v>
      </c>
      <c r="G844" s="13" t="s">
        <v>126</v>
      </c>
      <c r="H844" s="13" t="s">
        <v>7</v>
      </c>
      <c r="I844" s="13" t="s">
        <v>458</v>
      </c>
      <c r="J844" s="26"/>
      <c r="K844" s="17">
        <f t="shared" si="107"/>
        <v>19.600000000000001</v>
      </c>
      <c r="L844" s="17">
        <f t="shared" si="107"/>
        <v>0</v>
      </c>
      <c r="M844" s="17">
        <f t="shared" si="100"/>
        <v>0</v>
      </c>
    </row>
    <row r="845" spans="1:13" s="12" customFormat="1" ht="31.5" x14ac:dyDescent="0.2">
      <c r="A845" s="85"/>
      <c r="B845" s="33" t="s">
        <v>175</v>
      </c>
      <c r="C845" s="42">
        <v>925</v>
      </c>
      <c r="D845" s="13" t="s">
        <v>8</v>
      </c>
      <c r="E845" s="13" t="s">
        <v>7</v>
      </c>
      <c r="F845" s="13" t="s">
        <v>2</v>
      </c>
      <c r="G845" s="13" t="s">
        <v>126</v>
      </c>
      <c r="H845" s="13" t="s">
        <v>7</v>
      </c>
      <c r="I845" s="13" t="s">
        <v>458</v>
      </c>
      <c r="J845" s="26" t="s">
        <v>58</v>
      </c>
      <c r="K845" s="17">
        <f>21.5-1.9</f>
        <v>19.600000000000001</v>
      </c>
      <c r="L845" s="17">
        <v>0</v>
      </c>
      <c r="M845" s="17">
        <f t="shared" si="100"/>
        <v>0</v>
      </c>
    </row>
    <row r="846" spans="1:13" s="12" customFormat="1" x14ac:dyDescent="0.2">
      <c r="A846" s="85"/>
      <c r="B846" s="33" t="s">
        <v>27</v>
      </c>
      <c r="C846" s="42">
        <v>925</v>
      </c>
      <c r="D846" s="13" t="s">
        <v>8</v>
      </c>
      <c r="E846" s="26" t="s">
        <v>24</v>
      </c>
      <c r="F846" s="26"/>
      <c r="G846" s="42"/>
      <c r="H846" s="26"/>
      <c r="I846" s="26"/>
      <c r="J846" s="26"/>
      <c r="K846" s="17">
        <f>SUM(K847+K908+K927)</f>
        <v>131837.4</v>
      </c>
      <c r="L846" s="17">
        <f>SUM(L847+L908+L927)</f>
        <v>95629.900000000009</v>
      </c>
      <c r="M846" s="17">
        <f t="shared" si="100"/>
        <v>72.536245405325047</v>
      </c>
    </row>
    <row r="847" spans="1:13" s="12" customFormat="1" ht="31.9" customHeight="1" x14ac:dyDescent="0.2">
      <c r="A847" s="85"/>
      <c r="B847" s="33" t="s">
        <v>218</v>
      </c>
      <c r="C847" s="42">
        <v>925</v>
      </c>
      <c r="D847" s="26" t="s">
        <v>8</v>
      </c>
      <c r="E847" s="26" t="s">
        <v>24</v>
      </c>
      <c r="F847" s="26" t="s">
        <v>2</v>
      </c>
      <c r="G847" s="42"/>
      <c r="H847" s="26"/>
      <c r="I847" s="26"/>
      <c r="J847" s="26"/>
      <c r="K847" s="17">
        <f>SUM(K848)</f>
        <v>123807.1</v>
      </c>
      <c r="L847" s="17">
        <f>SUM(L848)</f>
        <v>87928.3</v>
      </c>
      <c r="M847" s="17">
        <f t="shared" si="100"/>
        <v>71.020401899406409</v>
      </c>
    </row>
    <row r="848" spans="1:13" s="12" customFormat="1" ht="46.9" customHeight="1" x14ac:dyDescent="0.2">
      <c r="A848" s="85"/>
      <c r="B848" s="33" t="s">
        <v>283</v>
      </c>
      <c r="C848" s="42">
        <v>925</v>
      </c>
      <c r="D848" s="26" t="s">
        <v>8</v>
      </c>
      <c r="E848" s="26" t="s">
        <v>24</v>
      </c>
      <c r="F848" s="26" t="s">
        <v>2</v>
      </c>
      <c r="G848" s="42">
        <v>1</v>
      </c>
      <c r="H848" s="26"/>
      <c r="I848" s="26"/>
      <c r="J848" s="26"/>
      <c r="K848" s="17">
        <f>SUM(K849+K867+K879+K898+K858+K905)</f>
        <v>123807.1</v>
      </c>
      <c r="L848" s="17">
        <f>SUM(L849+L867+L879+L898+L858+L905)</f>
        <v>87928.3</v>
      </c>
      <c r="M848" s="17">
        <f t="shared" si="100"/>
        <v>71.020401899406409</v>
      </c>
    </row>
    <row r="849" spans="1:13" s="12" customFormat="1" ht="33.6" customHeight="1" x14ac:dyDescent="0.2">
      <c r="A849" s="85"/>
      <c r="B849" s="54" t="s">
        <v>184</v>
      </c>
      <c r="C849" s="42">
        <v>925</v>
      </c>
      <c r="D849" s="26" t="s">
        <v>8</v>
      </c>
      <c r="E849" s="26" t="s">
        <v>24</v>
      </c>
      <c r="F849" s="26" t="s">
        <v>2</v>
      </c>
      <c r="G849" s="42">
        <v>1</v>
      </c>
      <c r="H849" s="26" t="s">
        <v>4</v>
      </c>
      <c r="I849" s="26"/>
      <c r="J849" s="26"/>
      <c r="K849" s="17">
        <f>SUM(K850+K854+K852)</f>
        <v>296.7</v>
      </c>
      <c r="L849" s="17">
        <f>SUM(L850+L854+L852)</f>
        <v>29.2</v>
      </c>
      <c r="M849" s="17">
        <f t="shared" si="100"/>
        <v>9.8415908324907324</v>
      </c>
    </row>
    <row r="850" spans="1:13" s="12" customFormat="1" x14ac:dyDescent="0.2">
      <c r="A850" s="85"/>
      <c r="B850" s="54" t="s">
        <v>434</v>
      </c>
      <c r="C850" s="42">
        <v>925</v>
      </c>
      <c r="D850" s="26" t="s">
        <v>8</v>
      </c>
      <c r="E850" s="26" t="s">
        <v>24</v>
      </c>
      <c r="F850" s="13" t="s">
        <v>2</v>
      </c>
      <c r="G850" s="13" t="s">
        <v>126</v>
      </c>
      <c r="H850" s="13" t="s">
        <v>4</v>
      </c>
      <c r="I850" s="13" t="s">
        <v>433</v>
      </c>
      <c r="J850" s="26"/>
      <c r="K850" s="17">
        <f>K851</f>
        <v>0</v>
      </c>
      <c r="L850" s="17">
        <f>L851</f>
        <v>0</v>
      </c>
      <c r="M850" s="17"/>
    </row>
    <row r="851" spans="1:13" s="12" customFormat="1" ht="31.5" x14ac:dyDescent="0.2">
      <c r="A851" s="85"/>
      <c r="B851" s="54" t="s">
        <v>175</v>
      </c>
      <c r="C851" s="42">
        <v>925</v>
      </c>
      <c r="D851" s="26" t="s">
        <v>8</v>
      </c>
      <c r="E851" s="26" t="s">
        <v>24</v>
      </c>
      <c r="F851" s="13" t="s">
        <v>2</v>
      </c>
      <c r="G851" s="13" t="s">
        <v>126</v>
      </c>
      <c r="H851" s="13" t="s">
        <v>4</v>
      </c>
      <c r="I851" s="13" t="s">
        <v>433</v>
      </c>
      <c r="J851" s="26" t="s">
        <v>58</v>
      </c>
      <c r="K851" s="17">
        <v>0</v>
      </c>
      <c r="L851" s="17">
        <v>0</v>
      </c>
      <c r="M851" s="17"/>
    </row>
    <row r="852" spans="1:13" s="12" customFormat="1" ht="31.5" x14ac:dyDescent="0.2">
      <c r="A852" s="85"/>
      <c r="B852" s="54" t="s">
        <v>392</v>
      </c>
      <c r="C852" s="42">
        <v>925</v>
      </c>
      <c r="D852" s="26" t="s">
        <v>8</v>
      </c>
      <c r="E852" s="26" t="s">
        <v>24</v>
      </c>
      <c r="F852" s="13" t="s">
        <v>2</v>
      </c>
      <c r="G852" s="13" t="s">
        <v>126</v>
      </c>
      <c r="H852" s="13" t="s">
        <v>4</v>
      </c>
      <c r="I852" s="13" t="s">
        <v>391</v>
      </c>
      <c r="J852" s="26"/>
      <c r="K852" s="17">
        <f>K853</f>
        <v>210</v>
      </c>
      <c r="L852" s="17">
        <f>L853</f>
        <v>0</v>
      </c>
      <c r="M852" s="17">
        <f t="shared" ref="M852:M915" si="108">L852/K852*100</f>
        <v>0</v>
      </c>
    </row>
    <row r="853" spans="1:13" s="12" customFormat="1" ht="31.5" x14ac:dyDescent="0.2">
      <c r="A853" s="85"/>
      <c r="B853" s="33" t="s">
        <v>175</v>
      </c>
      <c r="C853" s="42">
        <v>925</v>
      </c>
      <c r="D853" s="26" t="s">
        <v>8</v>
      </c>
      <c r="E853" s="26" t="s">
        <v>24</v>
      </c>
      <c r="F853" s="13" t="s">
        <v>2</v>
      </c>
      <c r="G853" s="13" t="s">
        <v>126</v>
      </c>
      <c r="H853" s="13" t="s">
        <v>4</v>
      </c>
      <c r="I853" s="13" t="s">
        <v>391</v>
      </c>
      <c r="J853" s="26" t="s">
        <v>58</v>
      </c>
      <c r="K853" s="17">
        <f>105.6+104.4</f>
        <v>210</v>
      </c>
      <c r="L853" s="17">
        <v>0</v>
      </c>
      <c r="M853" s="17">
        <f t="shared" si="108"/>
        <v>0</v>
      </c>
    </row>
    <row r="854" spans="1:13" s="12" customFormat="1" ht="175.9" customHeight="1" x14ac:dyDescent="0.2">
      <c r="A854" s="85"/>
      <c r="B854" s="33" t="s">
        <v>360</v>
      </c>
      <c r="C854" s="42">
        <v>925</v>
      </c>
      <c r="D854" s="26" t="s">
        <v>8</v>
      </c>
      <c r="E854" s="26" t="s">
        <v>24</v>
      </c>
      <c r="F854" s="26" t="s">
        <v>2</v>
      </c>
      <c r="G854" s="42">
        <v>1</v>
      </c>
      <c r="H854" s="26" t="s">
        <v>4</v>
      </c>
      <c r="I854" s="26" t="s">
        <v>202</v>
      </c>
      <c r="J854" s="26"/>
      <c r="K854" s="17">
        <f>SUM(K855:K857)</f>
        <v>86.7</v>
      </c>
      <c r="L854" s="17">
        <f>SUM(L855:L857)</f>
        <v>29.2</v>
      </c>
      <c r="M854" s="17">
        <f t="shared" si="108"/>
        <v>33.679354094579004</v>
      </c>
    </row>
    <row r="855" spans="1:13" s="12" customFormat="1" ht="31.5" x14ac:dyDescent="0.2">
      <c r="A855" s="85"/>
      <c r="B855" s="33" t="s">
        <v>175</v>
      </c>
      <c r="C855" s="42">
        <v>925</v>
      </c>
      <c r="D855" s="26" t="s">
        <v>8</v>
      </c>
      <c r="E855" s="26" t="s">
        <v>24</v>
      </c>
      <c r="F855" s="26" t="s">
        <v>2</v>
      </c>
      <c r="G855" s="42">
        <v>1</v>
      </c>
      <c r="H855" s="26" t="s">
        <v>4</v>
      </c>
      <c r="I855" s="26" t="s">
        <v>202</v>
      </c>
      <c r="J855" s="26" t="s">
        <v>56</v>
      </c>
      <c r="K855" s="17">
        <v>57.5</v>
      </c>
      <c r="L855" s="17">
        <v>0</v>
      </c>
      <c r="M855" s="17">
        <f t="shared" si="108"/>
        <v>0</v>
      </c>
    </row>
    <row r="856" spans="1:13" s="12" customFormat="1" ht="31.5" x14ac:dyDescent="0.2">
      <c r="A856" s="85"/>
      <c r="B856" s="33" t="s">
        <v>175</v>
      </c>
      <c r="C856" s="42">
        <v>925</v>
      </c>
      <c r="D856" s="26" t="s">
        <v>8</v>
      </c>
      <c r="E856" s="26" t="s">
        <v>24</v>
      </c>
      <c r="F856" s="26" t="s">
        <v>2</v>
      </c>
      <c r="G856" s="42">
        <v>1</v>
      </c>
      <c r="H856" s="26" t="s">
        <v>4</v>
      </c>
      <c r="I856" s="26" t="s">
        <v>202</v>
      </c>
      <c r="J856" s="26" t="s">
        <v>58</v>
      </c>
      <c r="K856" s="17">
        <v>29.2</v>
      </c>
      <c r="L856" s="17">
        <v>29.2</v>
      </c>
      <c r="M856" s="17">
        <f t="shared" si="108"/>
        <v>100</v>
      </c>
    </row>
    <row r="857" spans="1:13" s="12" customFormat="1" ht="19.899999999999999" customHeight="1" x14ac:dyDescent="0.2">
      <c r="A857" s="85"/>
      <c r="B857" s="33" t="s">
        <v>69</v>
      </c>
      <c r="C857" s="42">
        <v>925</v>
      </c>
      <c r="D857" s="26" t="s">
        <v>8</v>
      </c>
      <c r="E857" s="26" t="s">
        <v>24</v>
      </c>
      <c r="F857" s="26" t="s">
        <v>2</v>
      </c>
      <c r="G857" s="42">
        <v>1</v>
      </c>
      <c r="H857" s="26" t="s">
        <v>4</v>
      </c>
      <c r="I857" s="26" t="s">
        <v>202</v>
      </c>
      <c r="J857" s="26" t="s">
        <v>70</v>
      </c>
      <c r="K857" s="17">
        <v>0</v>
      </c>
      <c r="L857" s="17">
        <v>0</v>
      </c>
      <c r="M857" s="17"/>
    </row>
    <row r="858" spans="1:13" s="12" customFormat="1" ht="48.6" customHeight="1" x14ac:dyDescent="0.2">
      <c r="A858" s="85"/>
      <c r="B858" s="33" t="s">
        <v>341</v>
      </c>
      <c r="C858" s="42">
        <v>925</v>
      </c>
      <c r="D858" s="26" t="s">
        <v>8</v>
      </c>
      <c r="E858" s="26" t="s">
        <v>24</v>
      </c>
      <c r="F858" s="13" t="s">
        <v>2</v>
      </c>
      <c r="G858" s="13" t="s">
        <v>126</v>
      </c>
      <c r="H858" s="13" t="s">
        <v>5</v>
      </c>
      <c r="I858" s="13"/>
      <c r="J858" s="26"/>
      <c r="K858" s="17">
        <f>SUM(K863+K859)</f>
        <v>2095.4000000000005</v>
      </c>
      <c r="L858" s="17">
        <f>SUM(L863+L859)</f>
        <v>1837</v>
      </c>
      <c r="M858" s="17">
        <f t="shared" si="108"/>
        <v>87.668225637109842</v>
      </c>
    </row>
    <row r="859" spans="1:13" s="12" customFormat="1" ht="48" customHeight="1" x14ac:dyDescent="0.2">
      <c r="A859" s="85"/>
      <c r="B859" s="33" t="s">
        <v>417</v>
      </c>
      <c r="C859" s="42">
        <v>925</v>
      </c>
      <c r="D859" s="26" t="s">
        <v>8</v>
      </c>
      <c r="E859" s="26" t="s">
        <v>24</v>
      </c>
      <c r="F859" s="13" t="s">
        <v>2</v>
      </c>
      <c r="G859" s="13" t="s">
        <v>126</v>
      </c>
      <c r="H859" s="13" t="s">
        <v>5</v>
      </c>
      <c r="I859" s="13" t="s">
        <v>342</v>
      </c>
      <c r="J859" s="26"/>
      <c r="K859" s="17">
        <f>SUM(K860:K862)</f>
        <v>1790.6000000000006</v>
      </c>
      <c r="L859" s="17">
        <f>SUM(L860:L862)</f>
        <v>1536.8</v>
      </c>
      <c r="M859" s="17">
        <f t="shared" si="108"/>
        <v>85.825980118396046</v>
      </c>
    </row>
    <row r="860" spans="1:13" s="12" customFormat="1" ht="67.900000000000006" customHeight="1" x14ac:dyDescent="0.2">
      <c r="A860" s="85"/>
      <c r="B860" s="33" t="s">
        <v>198</v>
      </c>
      <c r="C860" s="42">
        <v>925</v>
      </c>
      <c r="D860" s="26" t="s">
        <v>8</v>
      </c>
      <c r="E860" s="26" t="s">
        <v>24</v>
      </c>
      <c r="F860" s="13" t="s">
        <v>2</v>
      </c>
      <c r="G860" s="13" t="s">
        <v>126</v>
      </c>
      <c r="H860" s="13" t="s">
        <v>5</v>
      </c>
      <c r="I860" s="13" t="s">
        <v>342</v>
      </c>
      <c r="J860" s="26" t="s">
        <v>56</v>
      </c>
      <c r="K860" s="17">
        <v>140</v>
      </c>
      <c r="L860" s="17">
        <v>103.2</v>
      </c>
      <c r="M860" s="17">
        <f t="shared" si="108"/>
        <v>73.714285714285722</v>
      </c>
    </row>
    <row r="861" spans="1:13" s="12" customFormat="1" ht="31.5" x14ac:dyDescent="0.2">
      <c r="A861" s="85"/>
      <c r="B861" s="33" t="s">
        <v>175</v>
      </c>
      <c r="C861" s="42">
        <v>925</v>
      </c>
      <c r="D861" s="26" t="s">
        <v>8</v>
      </c>
      <c r="E861" s="26" t="s">
        <v>24</v>
      </c>
      <c r="F861" s="13" t="s">
        <v>2</v>
      </c>
      <c r="G861" s="13" t="s">
        <v>126</v>
      </c>
      <c r="H861" s="13" t="s">
        <v>5</v>
      </c>
      <c r="I861" s="13" t="s">
        <v>342</v>
      </c>
      <c r="J861" s="26" t="s">
        <v>58</v>
      </c>
      <c r="K861" s="17">
        <f>159.8-50</f>
        <v>109.80000000000001</v>
      </c>
      <c r="L861" s="17">
        <v>0</v>
      </c>
      <c r="M861" s="17">
        <f t="shared" si="108"/>
        <v>0</v>
      </c>
    </row>
    <row r="862" spans="1:13" s="12" customFormat="1" ht="36" customHeight="1" x14ac:dyDescent="0.2">
      <c r="A862" s="85"/>
      <c r="B862" s="33" t="s">
        <v>76</v>
      </c>
      <c r="C862" s="42">
        <v>925</v>
      </c>
      <c r="D862" s="26" t="s">
        <v>8</v>
      </c>
      <c r="E862" s="26" t="s">
        <v>24</v>
      </c>
      <c r="F862" s="13" t="s">
        <v>2</v>
      </c>
      <c r="G862" s="13" t="s">
        <v>126</v>
      </c>
      <c r="H862" s="13" t="s">
        <v>5</v>
      </c>
      <c r="I862" s="13" t="s">
        <v>342</v>
      </c>
      <c r="J862" s="26" t="s">
        <v>77</v>
      </c>
      <c r="K862" s="17">
        <f>778.9+420+341.4+1001.9+9667.8-9667.8-1001.9-341.4+341.9</f>
        <v>1540.8000000000006</v>
      </c>
      <c r="L862" s="17">
        <v>1433.6</v>
      </c>
      <c r="M862" s="17">
        <f t="shared" si="108"/>
        <v>93.042575285565903</v>
      </c>
    </row>
    <row r="863" spans="1:13" s="12" customFormat="1" ht="79.900000000000006" customHeight="1" x14ac:dyDescent="0.2">
      <c r="A863" s="85"/>
      <c r="B863" s="33" t="s">
        <v>339</v>
      </c>
      <c r="C863" s="42">
        <v>925</v>
      </c>
      <c r="D863" s="26" t="s">
        <v>8</v>
      </c>
      <c r="E863" s="26" t="s">
        <v>24</v>
      </c>
      <c r="F863" s="13" t="s">
        <v>2</v>
      </c>
      <c r="G863" s="13" t="s">
        <v>126</v>
      </c>
      <c r="H863" s="13" t="s">
        <v>5</v>
      </c>
      <c r="I863" s="13" t="s">
        <v>340</v>
      </c>
      <c r="J863" s="26"/>
      <c r="K863" s="17">
        <f>SUM(K864+K866+K865)</f>
        <v>304.8</v>
      </c>
      <c r="L863" s="17">
        <f>SUM(L864+L866+L865)</f>
        <v>300.2</v>
      </c>
      <c r="M863" s="17">
        <f t="shared" si="108"/>
        <v>98.490813648293951</v>
      </c>
    </row>
    <row r="864" spans="1:13" s="12" customFormat="1" ht="65.45" customHeight="1" x14ac:dyDescent="0.2">
      <c r="A864" s="85"/>
      <c r="B864" s="33" t="s">
        <v>198</v>
      </c>
      <c r="C864" s="42">
        <v>925</v>
      </c>
      <c r="D864" s="26" t="s">
        <v>8</v>
      </c>
      <c r="E864" s="26" t="s">
        <v>24</v>
      </c>
      <c r="F864" s="13" t="s">
        <v>2</v>
      </c>
      <c r="G864" s="13" t="s">
        <v>126</v>
      </c>
      <c r="H864" s="13" t="s">
        <v>5</v>
      </c>
      <c r="I864" s="13" t="s">
        <v>340</v>
      </c>
      <c r="J864" s="26" t="s">
        <v>56</v>
      </c>
      <c r="K864" s="17">
        <v>304.8</v>
      </c>
      <c r="L864" s="17">
        <v>300.2</v>
      </c>
      <c r="M864" s="17">
        <f t="shared" si="108"/>
        <v>98.490813648293951</v>
      </c>
    </row>
    <row r="865" spans="1:13" s="12" customFormat="1" ht="31.9" customHeight="1" x14ac:dyDescent="0.2">
      <c r="A865" s="85"/>
      <c r="B865" s="33" t="s">
        <v>175</v>
      </c>
      <c r="C865" s="42">
        <v>925</v>
      </c>
      <c r="D865" s="26" t="s">
        <v>8</v>
      </c>
      <c r="E865" s="26" t="s">
        <v>24</v>
      </c>
      <c r="F865" s="13" t="s">
        <v>2</v>
      </c>
      <c r="G865" s="13" t="s">
        <v>126</v>
      </c>
      <c r="H865" s="13" t="s">
        <v>5</v>
      </c>
      <c r="I865" s="13" t="s">
        <v>340</v>
      </c>
      <c r="J865" s="26" t="s">
        <v>58</v>
      </c>
      <c r="K865" s="17">
        <v>0</v>
      </c>
      <c r="L865" s="17">
        <v>0</v>
      </c>
      <c r="M865" s="17"/>
    </row>
    <row r="866" spans="1:13" s="12" customFormat="1" ht="33" customHeight="1" x14ac:dyDescent="0.2">
      <c r="A866" s="85"/>
      <c r="B866" s="33" t="s">
        <v>76</v>
      </c>
      <c r="C866" s="42">
        <v>925</v>
      </c>
      <c r="D866" s="26" t="s">
        <v>8</v>
      </c>
      <c r="E866" s="26" t="s">
        <v>24</v>
      </c>
      <c r="F866" s="13" t="s">
        <v>2</v>
      </c>
      <c r="G866" s="13" t="s">
        <v>126</v>
      </c>
      <c r="H866" s="13" t="s">
        <v>5</v>
      </c>
      <c r="I866" s="13" t="s">
        <v>340</v>
      </c>
      <c r="J866" s="26" t="s">
        <v>77</v>
      </c>
      <c r="K866" s="17">
        <v>0</v>
      </c>
      <c r="L866" s="17">
        <v>0</v>
      </c>
      <c r="M866" s="17"/>
    </row>
    <row r="867" spans="1:13" s="12" customFormat="1" ht="67.150000000000006" customHeight="1" x14ac:dyDescent="0.2">
      <c r="A867" s="85"/>
      <c r="B867" s="33" t="s">
        <v>152</v>
      </c>
      <c r="C867" s="42">
        <v>925</v>
      </c>
      <c r="D867" s="26" t="s">
        <v>8</v>
      </c>
      <c r="E867" s="26" t="s">
        <v>24</v>
      </c>
      <c r="F867" s="26" t="s">
        <v>2</v>
      </c>
      <c r="G867" s="42">
        <v>1</v>
      </c>
      <c r="H867" s="26" t="s">
        <v>6</v>
      </c>
      <c r="I867" s="26"/>
      <c r="J867" s="26"/>
      <c r="K867" s="17">
        <f>SUM(K871+K868+K874+K877)</f>
        <v>10617.5</v>
      </c>
      <c r="L867" s="17">
        <f>SUM(L871+L868+L874+L877)</f>
        <v>7198.3</v>
      </c>
      <c r="M867" s="17">
        <f t="shared" si="108"/>
        <v>67.796562279255951</v>
      </c>
    </row>
    <row r="868" spans="1:13" s="12" customFormat="1" ht="31.5" x14ac:dyDescent="0.2">
      <c r="A868" s="85"/>
      <c r="B868" s="50" t="s">
        <v>197</v>
      </c>
      <c r="C868" s="42">
        <v>925</v>
      </c>
      <c r="D868" s="26" t="s">
        <v>8</v>
      </c>
      <c r="E868" s="26" t="s">
        <v>24</v>
      </c>
      <c r="F868" s="65" t="s">
        <v>2</v>
      </c>
      <c r="G868" s="65" t="s">
        <v>126</v>
      </c>
      <c r="H868" s="65" t="s">
        <v>6</v>
      </c>
      <c r="I868" s="65" t="s">
        <v>199</v>
      </c>
      <c r="J868" s="26"/>
      <c r="K868" s="17">
        <f>K869+K870</f>
        <v>0</v>
      </c>
      <c r="L868" s="17">
        <f>L869+L870</f>
        <v>0</v>
      </c>
      <c r="M868" s="17"/>
    </row>
    <row r="869" spans="1:13" s="12" customFormat="1" ht="67.150000000000006" customHeight="1" x14ac:dyDescent="0.2">
      <c r="A869" s="85"/>
      <c r="B869" s="33" t="s">
        <v>198</v>
      </c>
      <c r="C869" s="42">
        <v>925</v>
      </c>
      <c r="D869" s="26" t="s">
        <v>8</v>
      </c>
      <c r="E869" s="26" t="s">
        <v>24</v>
      </c>
      <c r="F869" s="65" t="s">
        <v>2</v>
      </c>
      <c r="G869" s="65" t="s">
        <v>126</v>
      </c>
      <c r="H869" s="65" t="s">
        <v>6</v>
      </c>
      <c r="I869" s="65" t="s">
        <v>199</v>
      </c>
      <c r="J869" s="26" t="s">
        <v>56</v>
      </c>
      <c r="K869" s="17">
        <v>0</v>
      </c>
      <c r="L869" s="17">
        <v>0</v>
      </c>
      <c r="M869" s="17"/>
    </row>
    <row r="870" spans="1:13" s="12" customFormat="1" ht="31.5" x14ac:dyDescent="0.2">
      <c r="A870" s="85"/>
      <c r="B870" s="33" t="s">
        <v>76</v>
      </c>
      <c r="C870" s="42">
        <v>925</v>
      </c>
      <c r="D870" s="26" t="s">
        <v>8</v>
      </c>
      <c r="E870" s="26" t="s">
        <v>24</v>
      </c>
      <c r="F870" s="65" t="s">
        <v>2</v>
      </c>
      <c r="G870" s="65" t="s">
        <v>126</v>
      </c>
      <c r="H870" s="65" t="s">
        <v>6</v>
      </c>
      <c r="I870" s="65" t="s">
        <v>199</v>
      </c>
      <c r="J870" s="26" t="s">
        <v>77</v>
      </c>
      <c r="K870" s="17">
        <v>0</v>
      </c>
      <c r="L870" s="17">
        <v>0</v>
      </c>
      <c r="M870" s="17"/>
    </row>
    <row r="871" spans="1:13" s="12" customFormat="1" ht="50.45" customHeight="1" x14ac:dyDescent="0.2">
      <c r="A871" s="85"/>
      <c r="B871" s="50" t="s">
        <v>211</v>
      </c>
      <c r="C871" s="42">
        <v>925</v>
      </c>
      <c r="D871" s="26" t="s">
        <v>8</v>
      </c>
      <c r="E871" s="26" t="s">
        <v>24</v>
      </c>
      <c r="F871" s="26" t="s">
        <v>2</v>
      </c>
      <c r="G871" s="42">
        <v>1</v>
      </c>
      <c r="H871" s="26" t="s">
        <v>6</v>
      </c>
      <c r="I871" s="26" t="s">
        <v>163</v>
      </c>
      <c r="J871" s="26"/>
      <c r="K871" s="17">
        <f t="shared" ref="K871:L871" si="109">SUM(K872:K873)</f>
        <v>1324</v>
      </c>
      <c r="L871" s="17">
        <f t="shared" si="109"/>
        <v>679</v>
      </c>
      <c r="M871" s="17">
        <f t="shared" si="108"/>
        <v>51.283987915407856</v>
      </c>
    </row>
    <row r="872" spans="1:13" s="12" customFormat="1" ht="64.150000000000006" customHeight="1" x14ac:dyDescent="0.2">
      <c r="A872" s="85"/>
      <c r="B872" s="33" t="s">
        <v>198</v>
      </c>
      <c r="C872" s="42">
        <v>925</v>
      </c>
      <c r="D872" s="26" t="s">
        <v>8</v>
      </c>
      <c r="E872" s="26" t="s">
        <v>24</v>
      </c>
      <c r="F872" s="26" t="s">
        <v>2</v>
      </c>
      <c r="G872" s="42">
        <v>1</v>
      </c>
      <c r="H872" s="26" t="s">
        <v>6</v>
      </c>
      <c r="I872" s="26" t="s">
        <v>163</v>
      </c>
      <c r="J872" s="26" t="s">
        <v>56</v>
      </c>
      <c r="K872" s="17">
        <v>0</v>
      </c>
      <c r="L872" s="17">
        <v>0</v>
      </c>
      <c r="M872" s="17"/>
    </row>
    <row r="873" spans="1:13" s="12" customFormat="1" ht="31.9" customHeight="1" x14ac:dyDescent="0.2">
      <c r="A873" s="85"/>
      <c r="B873" s="53" t="s">
        <v>76</v>
      </c>
      <c r="C873" s="42">
        <v>925</v>
      </c>
      <c r="D873" s="26" t="s">
        <v>8</v>
      </c>
      <c r="E873" s="26" t="s">
        <v>24</v>
      </c>
      <c r="F873" s="26" t="s">
        <v>2</v>
      </c>
      <c r="G873" s="42">
        <v>1</v>
      </c>
      <c r="H873" s="26" t="s">
        <v>6</v>
      </c>
      <c r="I873" s="26" t="s">
        <v>163</v>
      </c>
      <c r="J873" s="26" t="s">
        <v>77</v>
      </c>
      <c r="K873" s="17">
        <f>600+652+72</f>
        <v>1324</v>
      </c>
      <c r="L873" s="17">
        <v>679</v>
      </c>
      <c r="M873" s="17">
        <f t="shared" si="108"/>
        <v>51.283987915407856</v>
      </c>
    </row>
    <row r="874" spans="1:13" s="12" customFormat="1" ht="63.6" customHeight="1" x14ac:dyDescent="0.2">
      <c r="A874" s="85"/>
      <c r="B874" s="34" t="s">
        <v>213</v>
      </c>
      <c r="C874" s="42">
        <v>925</v>
      </c>
      <c r="D874" s="26" t="s">
        <v>8</v>
      </c>
      <c r="E874" s="26" t="s">
        <v>24</v>
      </c>
      <c r="F874" s="26" t="s">
        <v>2</v>
      </c>
      <c r="G874" s="42">
        <v>1</v>
      </c>
      <c r="H874" s="26" t="s">
        <v>6</v>
      </c>
      <c r="I874" s="26" t="s">
        <v>212</v>
      </c>
      <c r="J874" s="26"/>
      <c r="K874" s="17">
        <f>K875+K876</f>
        <v>9266.7999999999993</v>
      </c>
      <c r="L874" s="17">
        <f>L875+L876</f>
        <v>6519.3</v>
      </c>
      <c r="M874" s="17">
        <f t="shared" si="108"/>
        <v>70.351146026675877</v>
      </c>
    </row>
    <row r="875" spans="1:13" s="12" customFormat="1" ht="30.6" customHeight="1" x14ac:dyDescent="0.2">
      <c r="A875" s="85"/>
      <c r="B875" s="53" t="s">
        <v>76</v>
      </c>
      <c r="C875" s="42">
        <v>925</v>
      </c>
      <c r="D875" s="26" t="s">
        <v>8</v>
      </c>
      <c r="E875" s="26" t="s">
        <v>24</v>
      </c>
      <c r="F875" s="26" t="s">
        <v>2</v>
      </c>
      <c r="G875" s="42">
        <v>1</v>
      </c>
      <c r="H875" s="26" t="s">
        <v>6</v>
      </c>
      <c r="I875" s="26" t="s">
        <v>212</v>
      </c>
      <c r="J875" s="26" t="s">
        <v>56</v>
      </c>
      <c r="K875" s="17">
        <v>0</v>
      </c>
      <c r="L875" s="17">
        <v>0</v>
      </c>
      <c r="M875" s="17"/>
    </row>
    <row r="876" spans="1:13" s="12" customFormat="1" ht="32.450000000000003" customHeight="1" x14ac:dyDescent="0.2">
      <c r="A876" s="85"/>
      <c r="B876" s="33" t="s">
        <v>76</v>
      </c>
      <c r="C876" s="42">
        <v>925</v>
      </c>
      <c r="D876" s="26" t="s">
        <v>8</v>
      </c>
      <c r="E876" s="26" t="s">
        <v>24</v>
      </c>
      <c r="F876" s="26" t="s">
        <v>2</v>
      </c>
      <c r="G876" s="42">
        <v>1</v>
      </c>
      <c r="H876" s="26" t="s">
        <v>6</v>
      </c>
      <c r="I876" s="26" t="s">
        <v>212</v>
      </c>
      <c r="J876" s="26" t="s">
        <v>77</v>
      </c>
      <c r="K876" s="17">
        <f>5018.5+4248.3</f>
        <v>9266.7999999999993</v>
      </c>
      <c r="L876" s="17">
        <v>6519.3</v>
      </c>
      <c r="M876" s="17">
        <f t="shared" si="108"/>
        <v>70.351146026675877</v>
      </c>
    </row>
    <row r="877" spans="1:13" s="12" customFormat="1" ht="126.6" customHeight="1" x14ac:dyDescent="0.2">
      <c r="A877" s="85"/>
      <c r="B877" s="52" t="s">
        <v>359</v>
      </c>
      <c r="C877" s="42">
        <v>925</v>
      </c>
      <c r="D877" s="26" t="s">
        <v>8</v>
      </c>
      <c r="E877" s="26" t="s">
        <v>24</v>
      </c>
      <c r="F877" s="26" t="s">
        <v>2</v>
      </c>
      <c r="G877" s="42">
        <v>1</v>
      </c>
      <c r="H877" s="26" t="s">
        <v>6</v>
      </c>
      <c r="I877" s="26" t="s">
        <v>153</v>
      </c>
      <c r="J877" s="26"/>
      <c r="K877" s="17">
        <f>SUM(K878)</f>
        <v>26.700000000000003</v>
      </c>
      <c r="L877" s="17">
        <f>SUM(L878)</f>
        <v>0</v>
      </c>
      <c r="M877" s="17">
        <f t="shared" si="108"/>
        <v>0</v>
      </c>
    </row>
    <row r="878" spans="1:13" s="12" customFormat="1" ht="64.150000000000006" customHeight="1" x14ac:dyDescent="0.2">
      <c r="A878" s="85"/>
      <c r="B878" s="33" t="s">
        <v>198</v>
      </c>
      <c r="C878" s="42">
        <v>925</v>
      </c>
      <c r="D878" s="26" t="s">
        <v>8</v>
      </c>
      <c r="E878" s="26" t="s">
        <v>24</v>
      </c>
      <c r="F878" s="26" t="s">
        <v>2</v>
      </c>
      <c r="G878" s="42">
        <v>1</v>
      </c>
      <c r="H878" s="26" t="s">
        <v>6</v>
      </c>
      <c r="I878" s="26" t="s">
        <v>153</v>
      </c>
      <c r="J878" s="26" t="s">
        <v>56</v>
      </c>
      <c r="K878" s="17">
        <f>7.4+14.9+0.3+0.1+3.1+0.9</f>
        <v>26.700000000000003</v>
      </c>
      <c r="L878" s="17">
        <v>0</v>
      </c>
      <c r="M878" s="17">
        <f t="shared" si="108"/>
        <v>0</v>
      </c>
    </row>
    <row r="879" spans="1:13" s="12" customFormat="1" ht="78" customHeight="1" x14ac:dyDescent="0.2">
      <c r="A879" s="85"/>
      <c r="B879" s="50" t="s">
        <v>154</v>
      </c>
      <c r="C879" s="42">
        <v>925</v>
      </c>
      <c r="D879" s="26" t="s">
        <v>8</v>
      </c>
      <c r="E879" s="26" t="s">
        <v>24</v>
      </c>
      <c r="F879" s="26" t="s">
        <v>2</v>
      </c>
      <c r="G879" s="42">
        <v>1</v>
      </c>
      <c r="H879" s="26" t="s">
        <v>7</v>
      </c>
      <c r="I879" s="26"/>
      <c r="J879" s="26"/>
      <c r="K879" s="17">
        <f>SUM(K880+K884+K895+K893+K891+K889)</f>
        <v>94408.800000000017</v>
      </c>
      <c r="L879" s="17">
        <f>SUM(L880+L884+L895+L893+L891+L889)</f>
        <v>65753.7</v>
      </c>
      <c r="M879" s="17">
        <f t="shared" si="108"/>
        <v>69.647850624094346</v>
      </c>
    </row>
    <row r="880" spans="1:13" s="12" customFormat="1" ht="18.600000000000001" customHeight="1" x14ac:dyDescent="0.2">
      <c r="A880" s="85"/>
      <c r="B880" s="33" t="s">
        <v>54</v>
      </c>
      <c r="C880" s="42">
        <v>925</v>
      </c>
      <c r="D880" s="26" t="s">
        <v>8</v>
      </c>
      <c r="E880" s="26" t="s">
        <v>24</v>
      </c>
      <c r="F880" s="26" t="s">
        <v>2</v>
      </c>
      <c r="G880" s="42">
        <v>1</v>
      </c>
      <c r="H880" s="26" t="s">
        <v>7</v>
      </c>
      <c r="I880" s="26" t="s">
        <v>104</v>
      </c>
      <c r="J880" s="26"/>
      <c r="K880" s="17">
        <f>SUM(K881:K883)</f>
        <v>6308.7</v>
      </c>
      <c r="L880" s="17">
        <f>SUM(L881:L883)</f>
        <v>4959.2</v>
      </c>
      <c r="M880" s="17">
        <f t="shared" si="108"/>
        <v>78.608905162711807</v>
      </c>
    </row>
    <row r="881" spans="1:13" s="12" customFormat="1" ht="48" customHeight="1" x14ac:dyDescent="0.2">
      <c r="A881" s="85"/>
      <c r="B881" s="33" t="s">
        <v>55</v>
      </c>
      <c r="C881" s="42">
        <v>925</v>
      </c>
      <c r="D881" s="26" t="s">
        <v>8</v>
      </c>
      <c r="E881" s="26" t="s">
        <v>24</v>
      </c>
      <c r="F881" s="26" t="s">
        <v>2</v>
      </c>
      <c r="G881" s="42">
        <v>1</v>
      </c>
      <c r="H881" s="26" t="s">
        <v>7</v>
      </c>
      <c r="I881" s="26" t="s">
        <v>104</v>
      </c>
      <c r="J881" s="26" t="s">
        <v>56</v>
      </c>
      <c r="K881" s="17">
        <v>6305.8</v>
      </c>
      <c r="L881" s="17">
        <v>4957.3</v>
      </c>
      <c r="M881" s="17">
        <f t="shared" si="108"/>
        <v>78.614925941196987</v>
      </c>
    </row>
    <row r="882" spans="1:13" s="12" customFormat="1" ht="33.6" customHeight="1" x14ac:dyDescent="0.2">
      <c r="A882" s="85"/>
      <c r="B882" s="33" t="s">
        <v>175</v>
      </c>
      <c r="C882" s="42">
        <v>925</v>
      </c>
      <c r="D882" s="26" t="s">
        <v>8</v>
      </c>
      <c r="E882" s="26" t="s">
        <v>24</v>
      </c>
      <c r="F882" s="26" t="s">
        <v>2</v>
      </c>
      <c r="G882" s="42">
        <v>1</v>
      </c>
      <c r="H882" s="26" t="s">
        <v>7</v>
      </c>
      <c r="I882" s="26" t="s">
        <v>104</v>
      </c>
      <c r="J882" s="26" t="s">
        <v>58</v>
      </c>
      <c r="K882" s="17">
        <f>6244.3-6244.3+1.9</f>
        <v>1.9</v>
      </c>
      <c r="L882" s="17">
        <v>1.9</v>
      </c>
      <c r="M882" s="17">
        <f t="shared" si="108"/>
        <v>100</v>
      </c>
    </row>
    <row r="883" spans="1:13" s="12" customFormat="1" ht="16.149999999999999" customHeight="1" x14ac:dyDescent="0.2">
      <c r="A883" s="85"/>
      <c r="B883" s="33" t="s">
        <v>60</v>
      </c>
      <c r="C883" s="42">
        <v>925</v>
      </c>
      <c r="D883" s="26" t="s">
        <v>8</v>
      </c>
      <c r="E883" s="26" t="s">
        <v>24</v>
      </c>
      <c r="F883" s="26" t="s">
        <v>2</v>
      </c>
      <c r="G883" s="42">
        <v>1</v>
      </c>
      <c r="H883" s="26" t="s">
        <v>7</v>
      </c>
      <c r="I883" s="26" t="s">
        <v>104</v>
      </c>
      <c r="J883" s="26" t="s">
        <v>61</v>
      </c>
      <c r="K883" s="17">
        <v>1</v>
      </c>
      <c r="L883" s="17">
        <v>0</v>
      </c>
      <c r="M883" s="17">
        <f t="shared" si="108"/>
        <v>0</v>
      </c>
    </row>
    <row r="884" spans="1:13" s="12" customFormat="1" ht="63.6" customHeight="1" x14ac:dyDescent="0.2">
      <c r="A884" s="85"/>
      <c r="B884" s="50" t="s">
        <v>157</v>
      </c>
      <c r="C884" s="42">
        <v>925</v>
      </c>
      <c r="D884" s="26" t="s">
        <v>8</v>
      </c>
      <c r="E884" s="26" t="s">
        <v>24</v>
      </c>
      <c r="F884" s="26" t="s">
        <v>2</v>
      </c>
      <c r="G884" s="42">
        <v>1</v>
      </c>
      <c r="H884" s="26" t="s">
        <v>7</v>
      </c>
      <c r="I884" s="26" t="s">
        <v>116</v>
      </c>
      <c r="J884" s="26"/>
      <c r="K884" s="17">
        <f>SUM(K885:K888)</f>
        <v>70646.300000000017</v>
      </c>
      <c r="L884" s="17">
        <f>SUM(L885:L888)</f>
        <v>49967.600000000006</v>
      </c>
      <c r="M884" s="17">
        <f t="shared" si="108"/>
        <v>70.729252628941623</v>
      </c>
    </row>
    <row r="885" spans="1:13" s="12" customFormat="1" ht="47.45" customHeight="1" x14ac:dyDescent="0.2">
      <c r="A885" s="85"/>
      <c r="B885" s="33" t="s">
        <v>55</v>
      </c>
      <c r="C885" s="42">
        <v>925</v>
      </c>
      <c r="D885" s="26" t="s">
        <v>8</v>
      </c>
      <c r="E885" s="26" t="s">
        <v>24</v>
      </c>
      <c r="F885" s="26" t="s">
        <v>2</v>
      </c>
      <c r="G885" s="42">
        <v>1</v>
      </c>
      <c r="H885" s="26" t="s">
        <v>7</v>
      </c>
      <c r="I885" s="26" t="s">
        <v>116</v>
      </c>
      <c r="J885" s="26" t="s">
        <v>56</v>
      </c>
      <c r="K885" s="17">
        <f>41499.5+20212.7+565.3+201.9-0.1-446.7-82.7-480.6</f>
        <v>61469.30000000001</v>
      </c>
      <c r="L885" s="17">
        <v>44344.4</v>
      </c>
      <c r="M885" s="17">
        <f t="shared" si="108"/>
        <v>72.140727159736642</v>
      </c>
    </row>
    <row r="886" spans="1:13" s="12" customFormat="1" ht="31.5" x14ac:dyDescent="0.2">
      <c r="A886" s="85"/>
      <c r="B886" s="33" t="s">
        <v>175</v>
      </c>
      <c r="C886" s="42">
        <v>925</v>
      </c>
      <c r="D886" s="26" t="s">
        <v>8</v>
      </c>
      <c r="E886" s="26" t="s">
        <v>24</v>
      </c>
      <c r="F886" s="26" t="s">
        <v>2</v>
      </c>
      <c r="G886" s="42">
        <v>1</v>
      </c>
      <c r="H886" s="26" t="s">
        <v>7</v>
      </c>
      <c r="I886" s="26" t="s">
        <v>116</v>
      </c>
      <c r="J886" s="26" t="s">
        <v>58</v>
      </c>
      <c r="K886" s="17">
        <f>8336.2+683.5-2+82.7</f>
        <v>9100.4000000000015</v>
      </c>
      <c r="L886" s="17">
        <v>5615.3</v>
      </c>
      <c r="M886" s="17">
        <f t="shared" si="108"/>
        <v>61.703881148081393</v>
      </c>
    </row>
    <row r="887" spans="1:13" s="12" customFormat="1" x14ac:dyDescent="0.2">
      <c r="A887" s="85"/>
      <c r="B887" s="33" t="s">
        <v>69</v>
      </c>
      <c r="C887" s="42">
        <v>925</v>
      </c>
      <c r="D887" s="26" t="s">
        <v>8</v>
      </c>
      <c r="E887" s="26" t="s">
        <v>24</v>
      </c>
      <c r="F887" s="26" t="s">
        <v>2</v>
      </c>
      <c r="G887" s="42">
        <v>1</v>
      </c>
      <c r="H887" s="26" t="s">
        <v>7</v>
      </c>
      <c r="I887" s="26" t="s">
        <v>116</v>
      </c>
      <c r="J887" s="26" t="s">
        <v>70</v>
      </c>
      <c r="K887" s="17">
        <v>0</v>
      </c>
      <c r="L887" s="17">
        <v>0</v>
      </c>
      <c r="M887" s="17"/>
    </row>
    <row r="888" spans="1:13" s="12" customFormat="1" ht="16.149999999999999" customHeight="1" x14ac:dyDescent="0.2">
      <c r="A888" s="85"/>
      <c r="B888" s="33" t="s">
        <v>60</v>
      </c>
      <c r="C888" s="42">
        <v>925</v>
      </c>
      <c r="D888" s="26" t="s">
        <v>8</v>
      </c>
      <c r="E888" s="26" t="s">
        <v>24</v>
      </c>
      <c r="F888" s="26" t="s">
        <v>2</v>
      </c>
      <c r="G888" s="42">
        <v>1</v>
      </c>
      <c r="H888" s="26" t="s">
        <v>7</v>
      </c>
      <c r="I888" s="26" t="s">
        <v>116</v>
      </c>
      <c r="J888" s="26" t="s">
        <v>61</v>
      </c>
      <c r="K888" s="17">
        <v>76.599999999999994</v>
      </c>
      <c r="L888" s="17">
        <v>7.9</v>
      </c>
      <c r="M888" s="17">
        <f t="shared" si="108"/>
        <v>10.313315926892951</v>
      </c>
    </row>
    <row r="889" spans="1:13" s="12" customFormat="1" ht="15.6" customHeight="1" x14ac:dyDescent="0.2">
      <c r="A889" s="85"/>
      <c r="B889" s="33" t="s">
        <v>456</v>
      </c>
      <c r="C889" s="42">
        <v>925</v>
      </c>
      <c r="D889" s="26" t="s">
        <v>8</v>
      </c>
      <c r="E889" s="13" t="s">
        <v>24</v>
      </c>
      <c r="F889" s="13" t="s">
        <v>2</v>
      </c>
      <c r="G889" s="25">
        <v>1</v>
      </c>
      <c r="H889" s="13" t="s">
        <v>7</v>
      </c>
      <c r="I889" s="13" t="s">
        <v>455</v>
      </c>
      <c r="J889" s="13"/>
      <c r="K889" s="17">
        <f>SUM(K890)</f>
        <v>24</v>
      </c>
      <c r="L889" s="17">
        <f>SUM(L890)</f>
        <v>0</v>
      </c>
      <c r="M889" s="17">
        <f t="shared" si="108"/>
        <v>0</v>
      </c>
    </row>
    <row r="890" spans="1:13" s="12" customFormat="1" ht="33.6" customHeight="1" x14ac:dyDescent="0.2">
      <c r="A890" s="85"/>
      <c r="B890" s="33" t="s">
        <v>175</v>
      </c>
      <c r="C890" s="42">
        <v>925</v>
      </c>
      <c r="D890" s="13" t="s">
        <v>8</v>
      </c>
      <c r="E890" s="13" t="s">
        <v>24</v>
      </c>
      <c r="F890" s="13" t="s">
        <v>2</v>
      </c>
      <c r="G890" s="25">
        <v>1</v>
      </c>
      <c r="H890" s="13" t="s">
        <v>7</v>
      </c>
      <c r="I890" s="13" t="s">
        <v>455</v>
      </c>
      <c r="J890" s="13" t="s">
        <v>58</v>
      </c>
      <c r="K890" s="17">
        <v>24</v>
      </c>
      <c r="L890" s="17">
        <v>0</v>
      </c>
      <c r="M890" s="17">
        <f t="shared" si="108"/>
        <v>0</v>
      </c>
    </row>
    <row r="891" spans="1:13" s="12" customFormat="1" x14ac:dyDescent="0.2">
      <c r="A891" s="85"/>
      <c r="B891" s="33" t="s">
        <v>405</v>
      </c>
      <c r="C891" s="42">
        <v>925</v>
      </c>
      <c r="D891" s="26" t="s">
        <v>8</v>
      </c>
      <c r="E891" s="26" t="s">
        <v>24</v>
      </c>
      <c r="F891" s="26" t="s">
        <v>2</v>
      </c>
      <c r="G891" s="42">
        <v>1</v>
      </c>
      <c r="H891" s="26" t="s">
        <v>7</v>
      </c>
      <c r="I891" s="13" t="s">
        <v>404</v>
      </c>
      <c r="J891" s="26"/>
      <c r="K891" s="17">
        <f>K892</f>
        <v>0</v>
      </c>
      <c r="L891" s="17">
        <f>L892</f>
        <v>0</v>
      </c>
      <c r="M891" s="17"/>
    </row>
    <row r="892" spans="1:13" s="12" customFormat="1" ht="51" customHeight="1" x14ac:dyDescent="0.2">
      <c r="A892" s="85"/>
      <c r="B892" s="33" t="s">
        <v>55</v>
      </c>
      <c r="C892" s="42">
        <v>925</v>
      </c>
      <c r="D892" s="26" t="s">
        <v>8</v>
      </c>
      <c r="E892" s="26" t="s">
        <v>24</v>
      </c>
      <c r="F892" s="26" t="s">
        <v>2</v>
      </c>
      <c r="G892" s="42">
        <v>1</v>
      </c>
      <c r="H892" s="26" t="s">
        <v>7</v>
      </c>
      <c r="I892" s="13" t="s">
        <v>404</v>
      </c>
      <c r="J892" s="26" t="s">
        <v>56</v>
      </c>
      <c r="K892" s="17">
        <v>0</v>
      </c>
      <c r="L892" s="17">
        <v>0</v>
      </c>
      <c r="M892" s="17"/>
    </row>
    <row r="893" spans="1:13" s="12" customFormat="1" ht="81" customHeight="1" x14ac:dyDescent="0.2">
      <c r="A893" s="85"/>
      <c r="B893" s="64" t="s">
        <v>361</v>
      </c>
      <c r="C893" s="42">
        <v>925</v>
      </c>
      <c r="D893" s="26" t="s">
        <v>8</v>
      </c>
      <c r="E893" s="26" t="s">
        <v>24</v>
      </c>
      <c r="F893" s="26" t="s">
        <v>2</v>
      </c>
      <c r="G893" s="42">
        <v>1</v>
      </c>
      <c r="H893" s="26" t="s">
        <v>7</v>
      </c>
      <c r="I893" s="26" t="s">
        <v>164</v>
      </c>
      <c r="J893" s="26"/>
      <c r="K893" s="17">
        <f>K894</f>
        <v>74.400000000000006</v>
      </c>
      <c r="L893" s="17">
        <f>L894</f>
        <v>0</v>
      </c>
      <c r="M893" s="17">
        <f t="shared" si="108"/>
        <v>0</v>
      </c>
    </row>
    <row r="894" spans="1:13" s="12" customFormat="1" ht="47.45" customHeight="1" x14ac:dyDescent="0.2">
      <c r="A894" s="85"/>
      <c r="B894" s="33" t="s">
        <v>55</v>
      </c>
      <c r="C894" s="42">
        <v>925</v>
      </c>
      <c r="D894" s="26" t="s">
        <v>8</v>
      </c>
      <c r="E894" s="26" t="s">
        <v>24</v>
      </c>
      <c r="F894" s="26" t="s">
        <v>2</v>
      </c>
      <c r="G894" s="42">
        <v>1</v>
      </c>
      <c r="H894" s="26" t="s">
        <v>7</v>
      </c>
      <c r="I894" s="26" t="s">
        <v>164</v>
      </c>
      <c r="J894" s="26" t="s">
        <v>56</v>
      </c>
      <c r="K894" s="17">
        <f>77.7-3.3</f>
        <v>74.400000000000006</v>
      </c>
      <c r="L894" s="17">
        <v>0</v>
      </c>
      <c r="M894" s="17">
        <f t="shared" si="108"/>
        <v>0</v>
      </c>
    </row>
    <row r="895" spans="1:13" s="12" customFormat="1" ht="80.45" customHeight="1" x14ac:dyDescent="0.2">
      <c r="A895" s="85"/>
      <c r="B895" s="53" t="s">
        <v>362</v>
      </c>
      <c r="C895" s="42">
        <v>925</v>
      </c>
      <c r="D895" s="26" t="s">
        <v>8</v>
      </c>
      <c r="E895" s="26" t="s">
        <v>24</v>
      </c>
      <c r="F895" s="26" t="s">
        <v>2</v>
      </c>
      <c r="G895" s="42">
        <v>1</v>
      </c>
      <c r="H895" s="26" t="s">
        <v>7</v>
      </c>
      <c r="I895" s="26" t="s">
        <v>156</v>
      </c>
      <c r="J895" s="26"/>
      <c r="K895" s="17">
        <f>SUM(K896:K897)</f>
        <v>17355.400000000001</v>
      </c>
      <c r="L895" s="17">
        <f>SUM(L896:L897)</f>
        <v>10826.9</v>
      </c>
      <c r="M895" s="17">
        <f t="shared" si="108"/>
        <v>62.383465664865113</v>
      </c>
    </row>
    <row r="896" spans="1:13" s="12" customFormat="1" ht="49.15" customHeight="1" x14ac:dyDescent="0.2">
      <c r="A896" s="85"/>
      <c r="B896" s="33" t="s">
        <v>55</v>
      </c>
      <c r="C896" s="42">
        <v>925</v>
      </c>
      <c r="D896" s="26" t="s">
        <v>8</v>
      </c>
      <c r="E896" s="26" t="s">
        <v>24</v>
      </c>
      <c r="F896" s="26" t="s">
        <v>2</v>
      </c>
      <c r="G896" s="42">
        <v>1</v>
      </c>
      <c r="H896" s="26" t="s">
        <v>7</v>
      </c>
      <c r="I896" s="26" t="s">
        <v>156</v>
      </c>
      <c r="J896" s="26" t="s">
        <v>56</v>
      </c>
      <c r="K896" s="17">
        <v>17355.400000000001</v>
      </c>
      <c r="L896" s="17">
        <v>10826.9</v>
      </c>
      <c r="M896" s="17">
        <f t="shared" si="108"/>
        <v>62.383465664865113</v>
      </c>
    </row>
    <row r="897" spans="1:13" s="12" customFormat="1" ht="31.5" x14ac:dyDescent="0.2">
      <c r="A897" s="85"/>
      <c r="B897" s="33" t="s">
        <v>175</v>
      </c>
      <c r="C897" s="42">
        <v>925</v>
      </c>
      <c r="D897" s="26" t="s">
        <v>8</v>
      </c>
      <c r="E897" s="26" t="s">
        <v>24</v>
      </c>
      <c r="F897" s="26" t="s">
        <v>2</v>
      </c>
      <c r="G897" s="42">
        <v>1</v>
      </c>
      <c r="H897" s="26" t="s">
        <v>7</v>
      </c>
      <c r="I897" s="26" t="s">
        <v>156</v>
      </c>
      <c r="J897" s="26" t="s">
        <v>58</v>
      </c>
      <c r="K897" s="17">
        <v>0</v>
      </c>
      <c r="L897" s="17">
        <v>0</v>
      </c>
      <c r="M897" s="17"/>
    </row>
    <row r="898" spans="1:13" s="12" customFormat="1" ht="33" customHeight="1" x14ac:dyDescent="0.2">
      <c r="A898" s="85"/>
      <c r="B898" s="33" t="s">
        <v>159</v>
      </c>
      <c r="C898" s="42">
        <v>925</v>
      </c>
      <c r="D898" s="13" t="s">
        <v>8</v>
      </c>
      <c r="E898" s="26" t="s">
        <v>24</v>
      </c>
      <c r="F898" s="26" t="s">
        <v>2</v>
      </c>
      <c r="G898" s="42">
        <v>1</v>
      </c>
      <c r="H898" s="26" t="s">
        <v>30</v>
      </c>
      <c r="I898" s="26"/>
      <c r="J898" s="26"/>
      <c r="K898" s="17">
        <f>K899+K901+K903</f>
        <v>15889.9</v>
      </c>
      <c r="L898" s="17">
        <f>L899+L901+L903</f>
        <v>12666.5</v>
      </c>
      <c r="M898" s="17">
        <f t="shared" si="108"/>
        <v>79.714158050082133</v>
      </c>
    </row>
    <row r="899" spans="1:13" s="12" customFormat="1" ht="47.45" customHeight="1" x14ac:dyDescent="0.2">
      <c r="A899" s="85"/>
      <c r="B899" s="34" t="s">
        <v>284</v>
      </c>
      <c r="C899" s="42">
        <v>925</v>
      </c>
      <c r="D899" s="26" t="s">
        <v>8</v>
      </c>
      <c r="E899" s="26" t="s">
        <v>24</v>
      </c>
      <c r="F899" s="26" t="s">
        <v>2</v>
      </c>
      <c r="G899" s="42">
        <v>1</v>
      </c>
      <c r="H899" s="26" t="s">
        <v>30</v>
      </c>
      <c r="I899" s="26" t="s">
        <v>210</v>
      </c>
      <c r="J899" s="26"/>
      <c r="K899" s="17">
        <f>K900</f>
        <v>15861.9</v>
      </c>
      <c r="L899" s="17">
        <f>L900</f>
        <v>12666.5</v>
      </c>
      <c r="M899" s="17">
        <f t="shared" si="108"/>
        <v>79.854872367118688</v>
      </c>
    </row>
    <row r="900" spans="1:13" s="12" customFormat="1" ht="31.9" customHeight="1" x14ac:dyDescent="0.2">
      <c r="A900" s="85"/>
      <c r="B900" s="53" t="s">
        <v>173</v>
      </c>
      <c r="C900" s="42">
        <v>925</v>
      </c>
      <c r="D900" s="26" t="s">
        <v>8</v>
      </c>
      <c r="E900" s="26" t="s">
        <v>24</v>
      </c>
      <c r="F900" s="26" t="s">
        <v>2</v>
      </c>
      <c r="G900" s="42">
        <v>1</v>
      </c>
      <c r="H900" s="26" t="s">
        <v>30</v>
      </c>
      <c r="I900" s="26" t="s">
        <v>210</v>
      </c>
      <c r="J900" s="26" t="s">
        <v>77</v>
      </c>
      <c r="K900" s="17">
        <f>7370.9+7370.9+153.7+370.9-0.1+595.6</f>
        <v>15861.9</v>
      </c>
      <c r="L900" s="17">
        <v>12666.5</v>
      </c>
      <c r="M900" s="17">
        <f t="shared" si="108"/>
        <v>79.854872367118688</v>
      </c>
    </row>
    <row r="901" spans="1:13" s="12" customFormat="1" ht="64.900000000000006" customHeight="1" x14ac:dyDescent="0.2">
      <c r="A901" s="85"/>
      <c r="B901" s="33" t="s">
        <v>90</v>
      </c>
      <c r="C901" s="42">
        <v>925</v>
      </c>
      <c r="D901" s="26" t="s">
        <v>8</v>
      </c>
      <c r="E901" s="26" t="s">
        <v>24</v>
      </c>
      <c r="F901" s="26" t="s">
        <v>2</v>
      </c>
      <c r="G901" s="42">
        <v>1</v>
      </c>
      <c r="H901" s="26" t="s">
        <v>30</v>
      </c>
      <c r="I901" s="26" t="s">
        <v>161</v>
      </c>
      <c r="J901" s="26"/>
      <c r="K901" s="17">
        <f>SUM(K902)</f>
        <v>9.8000000000000007</v>
      </c>
      <c r="L901" s="17">
        <f>SUM(L902)</f>
        <v>0</v>
      </c>
      <c r="M901" s="17">
        <f t="shared" si="108"/>
        <v>0</v>
      </c>
    </row>
    <row r="902" spans="1:13" s="12" customFormat="1" ht="48.6" customHeight="1" x14ac:dyDescent="0.2">
      <c r="A902" s="85"/>
      <c r="B902" s="33" t="s">
        <v>55</v>
      </c>
      <c r="C902" s="42">
        <v>925</v>
      </c>
      <c r="D902" s="26" t="s">
        <v>8</v>
      </c>
      <c r="E902" s="26" t="s">
        <v>24</v>
      </c>
      <c r="F902" s="26" t="s">
        <v>2</v>
      </c>
      <c r="G902" s="42">
        <v>1</v>
      </c>
      <c r="H902" s="26" t="s">
        <v>30</v>
      </c>
      <c r="I902" s="26" t="s">
        <v>161</v>
      </c>
      <c r="J902" s="26" t="s">
        <v>56</v>
      </c>
      <c r="K902" s="17">
        <f>13.3-3.5</f>
        <v>9.8000000000000007</v>
      </c>
      <c r="L902" s="17">
        <v>0</v>
      </c>
      <c r="M902" s="17">
        <f t="shared" si="108"/>
        <v>0</v>
      </c>
    </row>
    <row r="903" spans="1:13" s="12" customFormat="1" ht="111.6" customHeight="1" x14ac:dyDescent="0.2">
      <c r="A903" s="85"/>
      <c r="B903" s="33" t="s">
        <v>468</v>
      </c>
      <c r="C903" s="42">
        <v>925</v>
      </c>
      <c r="D903" s="26" t="s">
        <v>8</v>
      </c>
      <c r="E903" s="26" t="s">
        <v>24</v>
      </c>
      <c r="F903" s="65" t="s">
        <v>2</v>
      </c>
      <c r="G903" s="65" t="s">
        <v>126</v>
      </c>
      <c r="H903" s="65" t="s">
        <v>30</v>
      </c>
      <c r="I903" s="65" t="s">
        <v>469</v>
      </c>
      <c r="J903" s="26"/>
      <c r="K903" s="17">
        <f>K904</f>
        <v>18.2</v>
      </c>
      <c r="L903" s="17">
        <f>L904</f>
        <v>0</v>
      </c>
      <c r="M903" s="17">
        <f t="shared" si="108"/>
        <v>0</v>
      </c>
    </row>
    <row r="904" spans="1:13" s="12" customFormat="1" ht="80.45" customHeight="1" x14ac:dyDescent="0.2">
      <c r="A904" s="85"/>
      <c r="B904" s="33" t="s">
        <v>174</v>
      </c>
      <c r="C904" s="42">
        <v>925</v>
      </c>
      <c r="D904" s="26" t="s">
        <v>8</v>
      </c>
      <c r="E904" s="26" t="s">
        <v>24</v>
      </c>
      <c r="F904" s="65" t="s">
        <v>2</v>
      </c>
      <c r="G904" s="65" t="s">
        <v>126</v>
      </c>
      <c r="H904" s="65" t="s">
        <v>30</v>
      </c>
      <c r="I904" s="65" t="s">
        <v>469</v>
      </c>
      <c r="J904" s="26" t="s">
        <v>56</v>
      </c>
      <c r="K904" s="17">
        <v>18.2</v>
      </c>
      <c r="L904" s="17">
        <v>0</v>
      </c>
      <c r="M904" s="17">
        <f t="shared" si="108"/>
        <v>0</v>
      </c>
    </row>
    <row r="905" spans="1:13" s="12" customFormat="1" ht="37.15" customHeight="1" x14ac:dyDescent="0.2">
      <c r="A905" s="85"/>
      <c r="B905" s="33" t="s">
        <v>573</v>
      </c>
      <c r="C905" s="42">
        <v>925</v>
      </c>
      <c r="D905" s="26" t="s">
        <v>8</v>
      </c>
      <c r="E905" s="26" t="s">
        <v>24</v>
      </c>
      <c r="F905" s="65" t="s">
        <v>2</v>
      </c>
      <c r="G905" s="65" t="s">
        <v>126</v>
      </c>
      <c r="H905" s="65" t="s">
        <v>531</v>
      </c>
      <c r="I905" s="65"/>
      <c r="J905" s="26"/>
      <c r="K905" s="17">
        <f>SUM(K906)</f>
        <v>498.8</v>
      </c>
      <c r="L905" s="17">
        <f>SUM(L906)</f>
        <v>443.6</v>
      </c>
      <c r="M905" s="17">
        <f t="shared" si="108"/>
        <v>88.933440256615881</v>
      </c>
    </row>
    <row r="906" spans="1:13" s="12" customFormat="1" ht="64.900000000000006" customHeight="1" x14ac:dyDescent="0.2">
      <c r="A906" s="85"/>
      <c r="B906" s="33" t="s">
        <v>530</v>
      </c>
      <c r="C906" s="42">
        <v>925</v>
      </c>
      <c r="D906" s="26" t="s">
        <v>8</v>
      </c>
      <c r="E906" s="26" t="s">
        <v>24</v>
      </c>
      <c r="F906" s="65" t="s">
        <v>2</v>
      </c>
      <c r="G906" s="65" t="s">
        <v>126</v>
      </c>
      <c r="H906" s="65" t="s">
        <v>531</v>
      </c>
      <c r="I906" s="65" t="s">
        <v>532</v>
      </c>
      <c r="J906" s="26"/>
      <c r="K906" s="17">
        <f>SUM(K907)</f>
        <v>498.8</v>
      </c>
      <c r="L906" s="17">
        <f>SUM(L907)</f>
        <v>443.6</v>
      </c>
      <c r="M906" s="17">
        <f t="shared" si="108"/>
        <v>88.933440256615881</v>
      </c>
    </row>
    <row r="907" spans="1:13" s="12" customFormat="1" ht="33.75" customHeight="1" x14ac:dyDescent="0.2">
      <c r="A907" s="85"/>
      <c r="B907" s="33" t="s">
        <v>353</v>
      </c>
      <c r="C907" s="42">
        <v>925</v>
      </c>
      <c r="D907" s="26" t="s">
        <v>8</v>
      </c>
      <c r="E907" s="26" t="s">
        <v>24</v>
      </c>
      <c r="F907" s="65" t="s">
        <v>2</v>
      </c>
      <c r="G907" s="65" t="s">
        <v>126</v>
      </c>
      <c r="H907" s="65" t="s">
        <v>531</v>
      </c>
      <c r="I907" s="65" t="s">
        <v>532</v>
      </c>
      <c r="J907" s="26" t="s">
        <v>77</v>
      </c>
      <c r="K907" s="17">
        <f>468.8+30</f>
        <v>498.8</v>
      </c>
      <c r="L907" s="17">
        <v>443.6</v>
      </c>
      <c r="M907" s="17">
        <f t="shared" si="108"/>
        <v>88.933440256615881</v>
      </c>
    </row>
    <row r="908" spans="1:13" s="12" customFormat="1" ht="35.450000000000003" customHeight="1" x14ac:dyDescent="0.2">
      <c r="A908" s="85"/>
      <c r="B908" s="53" t="s">
        <v>310</v>
      </c>
      <c r="C908" s="42">
        <v>925</v>
      </c>
      <c r="D908" s="26" t="s">
        <v>8</v>
      </c>
      <c r="E908" s="26" t="s">
        <v>24</v>
      </c>
      <c r="F908" s="13" t="s">
        <v>21</v>
      </c>
      <c r="G908" s="25"/>
      <c r="H908" s="13"/>
      <c r="I908" s="13"/>
      <c r="J908" s="13"/>
      <c r="K908" s="17">
        <f>SUM(K909+K913+K921)</f>
        <v>7890.3000000000011</v>
      </c>
      <c r="L908" s="17">
        <f>SUM(L909+L913+L921)</f>
        <v>7701.6</v>
      </c>
      <c r="M908" s="17">
        <f t="shared" si="108"/>
        <v>97.608455952245151</v>
      </c>
    </row>
    <row r="909" spans="1:13" s="12" customFormat="1" ht="19.149999999999999" customHeight="1" x14ac:dyDescent="0.2">
      <c r="A909" s="85"/>
      <c r="B909" s="66" t="s">
        <v>574</v>
      </c>
      <c r="C909" s="42">
        <v>925</v>
      </c>
      <c r="D909" s="26" t="s">
        <v>8</v>
      </c>
      <c r="E909" s="26" t="s">
        <v>24</v>
      </c>
      <c r="F909" s="13" t="s">
        <v>21</v>
      </c>
      <c r="G909" s="25">
        <v>1</v>
      </c>
      <c r="H909" s="13"/>
      <c r="I909" s="13"/>
      <c r="J909" s="13"/>
      <c r="K909" s="17">
        <f t="shared" ref="K909:L911" si="110">SUM(K910)</f>
        <v>0</v>
      </c>
      <c r="L909" s="17">
        <f t="shared" si="110"/>
        <v>0</v>
      </c>
      <c r="M909" s="17"/>
    </row>
    <row r="910" spans="1:13" s="12" customFormat="1" ht="48.6" customHeight="1" x14ac:dyDescent="0.2">
      <c r="A910" s="85"/>
      <c r="B910" s="66" t="s">
        <v>526</v>
      </c>
      <c r="C910" s="42">
        <v>925</v>
      </c>
      <c r="D910" s="26" t="s">
        <v>8</v>
      </c>
      <c r="E910" s="26" t="s">
        <v>24</v>
      </c>
      <c r="F910" s="13" t="s">
        <v>21</v>
      </c>
      <c r="G910" s="25">
        <v>1</v>
      </c>
      <c r="H910" s="13" t="s">
        <v>2</v>
      </c>
      <c r="I910" s="13"/>
      <c r="J910" s="13"/>
      <c r="K910" s="17">
        <f t="shared" si="110"/>
        <v>0</v>
      </c>
      <c r="L910" s="17">
        <f t="shared" si="110"/>
        <v>0</v>
      </c>
      <c r="M910" s="17"/>
    </row>
    <row r="911" spans="1:13" s="12" customFormat="1" ht="50.45" customHeight="1" x14ac:dyDescent="0.2">
      <c r="A911" s="85"/>
      <c r="B911" s="66" t="s">
        <v>575</v>
      </c>
      <c r="C911" s="42">
        <v>925</v>
      </c>
      <c r="D911" s="26" t="s">
        <v>8</v>
      </c>
      <c r="E911" s="26" t="s">
        <v>24</v>
      </c>
      <c r="F911" s="13" t="s">
        <v>21</v>
      </c>
      <c r="G911" s="25">
        <v>1</v>
      </c>
      <c r="H911" s="13" t="s">
        <v>2</v>
      </c>
      <c r="I911" s="13" t="s">
        <v>527</v>
      </c>
      <c r="J911" s="13"/>
      <c r="K911" s="17">
        <f t="shared" si="110"/>
        <v>0</v>
      </c>
      <c r="L911" s="17">
        <f t="shared" si="110"/>
        <v>0</v>
      </c>
      <c r="M911" s="17"/>
    </row>
    <row r="912" spans="1:13" s="12" customFormat="1" ht="34.9" customHeight="1" x14ac:dyDescent="0.2">
      <c r="A912" s="85"/>
      <c r="B912" s="33" t="s">
        <v>175</v>
      </c>
      <c r="C912" s="42">
        <v>925</v>
      </c>
      <c r="D912" s="26" t="s">
        <v>8</v>
      </c>
      <c r="E912" s="26" t="s">
        <v>24</v>
      </c>
      <c r="F912" s="13" t="s">
        <v>21</v>
      </c>
      <c r="G912" s="25">
        <v>1</v>
      </c>
      <c r="H912" s="13" t="s">
        <v>2</v>
      </c>
      <c r="I912" s="13" t="s">
        <v>527</v>
      </c>
      <c r="J912" s="13" t="s">
        <v>58</v>
      </c>
      <c r="K912" s="17">
        <f>16-16</f>
        <v>0</v>
      </c>
      <c r="L912" s="17">
        <v>0</v>
      </c>
      <c r="M912" s="17"/>
    </row>
    <row r="913" spans="1:13" s="12" customFormat="1" ht="32.450000000000003" customHeight="1" x14ac:dyDescent="0.2">
      <c r="A913" s="85"/>
      <c r="B913" s="53" t="s">
        <v>215</v>
      </c>
      <c r="C913" s="42">
        <v>925</v>
      </c>
      <c r="D913" s="26" t="s">
        <v>8</v>
      </c>
      <c r="E913" s="26" t="s">
        <v>24</v>
      </c>
      <c r="F913" s="13" t="s">
        <v>21</v>
      </c>
      <c r="G913" s="25">
        <v>3</v>
      </c>
      <c r="H913" s="13"/>
      <c r="I913" s="13"/>
      <c r="J913" s="13"/>
      <c r="K913" s="17">
        <f>SUM(K914)</f>
        <v>7420.3000000000011</v>
      </c>
      <c r="L913" s="17">
        <f>SUM(L914)</f>
        <v>7231.6</v>
      </c>
      <c r="M913" s="17">
        <f t="shared" si="108"/>
        <v>97.456976133040428</v>
      </c>
    </row>
    <row r="914" spans="1:13" s="12" customFormat="1" ht="48" customHeight="1" x14ac:dyDescent="0.2">
      <c r="A914" s="85"/>
      <c r="B914" s="53" t="s">
        <v>162</v>
      </c>
      <c r="C914" s="42">
        <v>925</v>
      </c>
      <c r="D914" s="26" t="s">
        <v>8</v>
      </c>
      <c r="E914" s="26" t="s">
        <v>24</v>
      </c>
      <c r="F914" s="13" t="s">
        <v>21</v>
      </c>
      <c r="G914" s="25">
        <v>3</v>
      </c>
      <c r="H914" s="13" t="s">
        <v>2</v>
      </c>
      <c r="I914" s="13"/>
      <c r="J914" s="13"/>
      <c r="K914" s="17">
        <f>SUM(K918+K915)</f>
        <v>7420.3000000000011</v>
      </c>
      <c r="L914" s="17">
        <f>SUM(L918+L915)</f>
        <v>7231.6</v>
      </c>
      <c r="M914" s="17">
        <f t="shared" si="108"/>
        <v>97.456976133040428</v>
      </c>
    </row>
    <row r="915" spans="1:13" s="12" customFormat="1" ht="67.900000000000006" customHeight="1" x14ac:dyDescent="0.2">
      <c r="A915" s="85"/>
      <c r="B915" s="53" t="s">
        <v>576</v>
      </c>
      <c r="C915" s="42">
        <v>925</v>
      </c>
      <c r="D915" s="26" t="s">
        <v>8</v>
      </c>
      <c r="E915" s="26" t="s">
        <v>24</v>
      </c>
      <c r="F915" s="13" t="s">
        <v>21</v>
      </c>
      <c r="G915" s="25">
        <v>3</v>
      </c>
      <c r="H915" s="13" t="s">
        <v>2</v>
      </c>
      <c r="I915" s="13" t="s">
        <v>357</v>
      </c>
      <c r="J915" s="13"/>
      <c r="K915" s="17">
        <f>K916+K917</f>
        <v>4379.6000000000004</v>
      </c>
      <c r="L915" s="17">
        <f>L916+L917</f>
        <v>4379.6000000000004</v>
      </c>
      <c r="M915" s="17">
        <f t="shared" si="108"/>
        <v>100</v>
      </c>
    </row>
    <row r="916" spans="1:13" s="12" customFormat="1" ht="31.15" customHeight="1" x14ac:dyDescent="0.2">
      <c r="A916" s="85"/>
      <c r="B916" s="33" t="s">
        <v>175</v>
      </c>
      <c r="C916" s="42">
        <v>925</v>
      </c>
      <c r="D916" s="26" t="s">
        <v>8</v>
      </c>
      <c r="E916" s="26" t="s">
        <v>24</v>
      </c>
      <c r="F916" s="13" t="s">
        <v>21</v>
      </c>
      <c r="G916" s="25">
        <v>3</v>
      </c>
      <c r="H916" s="13" t="s">
        <v>2</v>
      </c>
      <c r="I916" s="13" t="s">
        <v>357</v>
      </c>
      <c r="J916" s="13" t="s">
        <v>58</v>
      </c>
      <c r="K916" s="17">
        <v>105</v>
      </c>
      <c r="L916" s="17">
        <v>105</v>
      </c>
      <c r="M916" s="17">
        <f t="shared" ref="M916:M977" si="111">L916/K916*100</f>
        <v>100</v>
      </c>
    </row>
    <row r="917" spans="1:13" s="12" customFormat="1" ht="34.9" customHeight="1" x14ac:dyDescent="0.2">
      <c r="A917" s="85"/>
      <c r="B917" s="33" t="s">
        <v>353</v>
      </c>
      <c r="C917" s="42">
        <v>925</v>
      </c>
      <c r="D917" s="26" t="s">
        <v>8</v>
      </c>
      <c r="E917" s="26" t="s">
        <v>24</v>
      </c>
      <c r="F917" s="13" t="s">
        <v>21</v>
      </c>
      <c r="G917" s="25">
        <v>3</v>
      </c>
      <c r="H917" s="13" t="s">
        <v>2</v>
      </c>
      <c r="I917" s="13" t="s">
        <v>357</v>
      </c>
      <c r="J917" s="13" t="s">
        <v>77</v>
      </c>
      <c r="K917" s="17">
        <v>4274.6000000000004</v>
      </c>
      <c r="L917" s="17">
        <v>4274.6000000000004</v>
      </c>
      <c r="M917" s="17">
        <f t="shared" si="111"/>
        <v>100</v>
      </c>
    </row>
    <row r="918" spans="1:13" s="12" customFormat="1" ht="92.45" customHeight="1" x14ac:dyDescent="0.2">
      <c r="A918" s="85"/>
      <c r="B918" s="33" t="s">
        <v>346</v>
      </c>
      <c r="C918" s="42">
        <v>925</v>
      </c>
      <c r="D918" s="26" t="s">
        <v>8</v>
      </c>
      <c r="E918" s="26" t="s">
        <v>24</v>
      </c>
      <c r="F918" s="13" t="s">
        <v>21</v>
      </c>
      <c r="G918" s="13" t="s">
        <v>189</v>
      </c>
      <c r="H918" s="13" t="s">
        <v>2</v>
      </c>
      <c r="I918" s="13" t="s">
        <v>395</v>
      </c>
      <c r="J918" s="26"/>
      <c r="K918" s="17">
        <f>SUM(K919:K920)</f>
        <v>3040.7000000000003</v>
      </c>
      <c r="L918" s="17">
        <f>SUM(L919:L920)</f>
        <v>2852</v>
      </c>
      <c r="M918" s="17">
        <f t="shared" si="111"/>
        <v>93.794192126812888</v>
      </c>
    </row>
    <row r="919" spans="1:13" s="12" customFormat="1" ht="64.900000000000006" customHeight="1" x14ac:dyDescent="0.2">
      <c r="A919" s="85"/>
      <c r="B919" s="33" t="s">
        <v>396</v>
      </c>
      <c r="C919" s="42">
        <v>925</v>
      </c>
      <c r="D919" s="26" t="s">
        <v>8</v>
      </c>
      <c r="E919" s="26" t="s">
        <v>24</v>
      </c>
      <c r="F919" s="13" t="s">
        <v>21</v>
      </c>
      <c r="G919" s="13" t="s">
        <v>189</v>
      </c>
      <c r="H919" s="13" t="s">
        <v>2</v>
      </c>
      <c r="I919" s="13" t="s">
        <v>395</v>
      </c>
      <c r="J919" s="26" t="s">
        <v>56</v>
      </c>
      <c r="K919" s="17">
        <v>44.9</v>
      </c>
      <c r="L919" s="17">
        <v>0</v>
      </c>
      <c r="M919" s="17">
        <f t="shared" si="111"/>
        <v>0</v>
      </c>
    </row>
    <row r="920" spans="1:13" s="12" customFormat="1" ht="31.5" x14ac:dyDescent="0.2">
      <c r="A920" s="85"/>
      <c r="B920" s="53" t="s">
        <v>173</v>
      </c>
      <c r="C920" s="42">
        <v>925</v>
      </c>
      <c r="D920" s="26" t="s">
        <v>8</v>
      </c>
      <c r="E920" s="26" t="s">
        <v>24</v>
      </c>
      <c r="F920" s="13" t="s">
        <v>21</v>
      </c>
      <c r="G920" s="13" t="s">
        <v>189</v>
      </c>
      <c r="H920" s="13" t="s">
        <v>2</v>
      </c>
      <c r="I920" s="13" t="s">
        <v>395</v>
      </c>
      <c r="J920" s="26" t="s">
        <v>77</v>
      </c>
      <c r="K920" s="17">
        <v>2995.8</v>
      </c>
      <c r="L920" s="17">
        <v>2852</v>
      </c>
      <c r="M920" s="17">
        <f t="shared" si="111"/>
        <v>95.199946591895312</v>
      </c>
    </row>
    <row r="921" spans="1:13" s="12" customFormat="1" ht="16.149999999999999" customHeight="1" x14ac:dyDescent="0.2">
      <c r="A921" s="85"/>
      <c r="B921" s="33" t="s">
        <v>286</v>
      </c>
      <c r="C921" s="42">
        <v>925</v>
      </c>
      <c r="D921" s="26" t="s">
        <v>8</v>
      </c>
      <c r="E921" s="26" t="s">
        <v>24</v>
      </c>
      <c r="F921" s="13" t="s">
        <v>21</v>
      </c>
      <c r="G921" s="13" t="s">
        <v>133</v>
      </c>
      <c r="H921" s="13"/>
      <c r="I921" s="13"/>
      <c r="J921" s="13"/>
      <c r="K921" s="17">
        <f t="shared" ref="K921:L922" si="112">SUM(K922)</f>
        <v>470</v>
      </c>
      <c r="L921" s="17">
        <f t="shared" si="112"/>
        <v>470</v>
      </c>
      <c r="M921" s="17">
        <f t="shared" si="111"/>
        <v>100</v>
      </c>
    </row>
    <row r="922" spans="1:13" s="12" customFormat="1" ht="63.6" customHeight="1" x14ac:dyDescent="0.2">
      <c r="A922" s="85"/>
      <c r="B922" s="33" t="s">
        <v>235</v>
      </c>
      <c r="C922" s="42">
        <v>925</v>
      </c>
      <c r="D922" s="26" t="s">
        <v>8</v>
      </c>
      <c r="E922" s="26" t="s">
        <v>24</v>
      </c>
      <c r="F922" s="13" t="s">
        <v>21</v>
      </c>
      <c r="G922" s="13" t="s">
        <v>133</v>
      </c>
      <c r="H922" s="13" t="s">
        <v>2</v>
      </c>
      <c r="I922" s="13"/>
      <c r="J922" s="13"/>
      <c r="K922" s="17">
        <f t="shared" si="112"/>
        <v>470</v>
      </c>
      <c r="L922" s="17">
        <f t="shared" si="112"/>
        <v>470</v>
      </c>
      <c r="M922" s="17">
        <f t="shared" si="111"/>
        <v>100</v>
      </c>
    </row>
    <row r="923" spans="1:13" s="12" customFormat="1" ht="46.9" customHeight="1" x14ac:dyDescent="0.2">
      <c r="A923" s="85"/>
      <c r="B923" s="33" t="s">
        <v>287</v>
      </c>
      <c r="C923" s="42">
        <v>925</v>
      </c>
      <c r="D923" s="26" t="s">
        <v>8</v>
      </c>
      <c r="E923" s="26" t="s">
        <v>24</v>
      </c>
      <c r="F923" s="13" t="s">
        <v>21</v>
      </c>
      <c r="G923" s="13" t="s">
        <v>133</v>
      </c>
      <c r="H923" s="13" t="s">
        <v>2</v>
      </c>
      <c r="I923" s="13" t="s">
        <v>236</v>
      </c>
      <c r="J923" s="13"/>
      <c r="K923" s="17">
        <f>SUM(K925+K924+K926)</f>
        <v>470</v>
      </c>
      <c r="L923" s="17">
        <f>SUM(L925+L924+L926)</f>
        <v>470</v>
      </c>
      <c r="M923" s="17">
        <f t="shared" si="111"/>
        <v>100</v>
      </c>
    </row>
    <row r="924" spans="1:13" s="12" customFormat="1" ht="46.15" customHeight="1" x14ac:dyDescent="0.2">
      <c r="A924" s="85"/>
      <c r="B924" s="33" t="s">
        <v>55</v>
      </c>
      <c r="C924" s="42">
        <v>925</v>
      </c>
      <c r="D924" s="26" t="s">
        <v>8</v>
      </c>
      <c r="E924" s="26" t="s">
        <v>24</v>
      </c>
      <c r="F924" s="13" t="s">
        <v>21</v>
      </c>
      <c r="G924" s="13" t="s">
        <v>133</v>
      </c>
      <c r="H924" s="13" t="s">
        <v>2</v>
      </c>
      <c r="I924" s="13" t="s">
        <v>236</v>
      </c>
      <c r="J924" s="13" t="s">
        <v>56</v>
      </c>
      <c r="K924" s="17">
        <v>0</v>
      </c>
      <c r="L924" s="17">
        <v>0</v>
      </c>
      <c r="M924" s="17"/>
    </row>
    <row r="925" spans="1:13" s="12" customFormat="1" ht="33" customHeight="1" x14ac:dyDescent="0.2">
      <c r="A925" s="85"/>
      <c r="B925" s="33" t="s">
        <v>175</v>
      </c>
      <c r="C925" s="42">
        <v>925</v>
      </c>
      <c r="D925" s="26" t="s">
        <v>8</v>
      </c>
      <c r="E925" s="26" t="s">
        <v>24</v>
      </c>
      <c r="F925" s="13" t="s">
        <v>21</v>
      </c>
      <c r="G925" s="13" t="s">
        <v>133</v>
      </c>
      <c r="H925" s="13" t="s">
        <v>2</v>
      </c>
      <c r="I925" s="13" t="s">
        <v>236</v>
      </c>
      <c r="J925" s="13" t="s">
        <v>58</v>
      </c>
      <c r="K925" s="17">
        <f>250.2+169.8</f>
        <v>420</v>
      </c>
      <c r="L925" s="17">
        <v>420</v>
      </c>
      <c r="M925" s="17">
        <f t="shared" si="111"/>
        <v>100</v>
      </c>
    </row>
    <row r="926" spans="1:13" s="12" customFormat="1" ht="30.75" customHeight="1" x14ac:dyDescent="0.2">
      <c r="A926" s="85"/>
      <c r="B926" s="33" t="s">
        <v>76</v>
      </c>
      <c r="C926" s="42">
        <v>925</v>
      </c>
      <c r="D926" s="26" t="s">
        <v>8</v>
      </c>
      <c r="E926" s="26" t="s">
        <v>24</v>
      </c>
      <c r="F926" s="13" t="s">
        <v>21</v>
      </c>
      <c r="G926" s="13" t="s">
        <v>133</v>
      </c>
      <c r="H926" s="13" t="s">
        <v>2</v>
      </c>
      <c r="I926" s="13" t="s">
        <v>236</v>
      </c>
      <c r="J926" s="13" t="s">
        <v>77</v>
      </c>
      <c r="K926" s="17">
        <v>50</v>
      </c>
      <c r="L926" s="17">
        <v>50</v>
      </c>
      <c r="M926" s="17">
        <f t="shared" si="111"/>
        <v>100</v>
      </c>
    </row>
    <row r="927" spans="1:13" s="12" customFormat="1" ht="46.9" customHeight="1" x14ac:dyDescent="0.2">
      <c r="A927" s="85"/>
      <c r="B927" s="33" t="s">
        <v>539</v>
      </c>
      <c r="C927" s="42">
        <v>925</v>
      </c>
      <c r="D927" s="26" t="s">
        <v>8</v>
      </c>
      <c r="E927" s="26" t="s">
        <v>24</v>
      </c>
      <c r="F927" s="13" t="s">
        <v>93</v>
      </c>
      <c r="G927" s="13"/>
      <c r="H927" s="13"/>
      <c r="I927" s="13"/>
      <c r="J927" s="13"/>
      <c r="K927" s="17">
        <f t="shared" ref="K927:L930" si="113">K928</f>
        <v>140</v>
      </c>
      <c r="L927" s="17">
        <f t="shared" si="113"/>
        <v>0</v>
      </c>
      <c r="M927" s="17">
        <f t="shared" si="111"/>
        <v>0</v>
      </c>
    </row>
    <row r="928" spans="1:13" s="12" customFormat="1" ht="48.6" customHeight="1" x14ac:dyDescent="0.2">
      <c r="A928" s="85"/>
      <c r="B928" s="33" t="s">
        <v>425</v>
      </c>
      <c r="C928" s="42">
        <v>925</v>
      </c>
      <c r="D928" s="26" t="s">
        <v>8</v>
      </c>
      <c r="E928" s="26" t="s">
        <v>24</v>
      </c>
      <c r="F928" s="13" t="s">
        <v>93</v>
      </c>
      <c r="G928" s="13" t="s">
        <v>126</v>
      </c>
      <c r="H928" s="13"/>
      <c r="I928" s="13"/>
      <c r="J928" s="13"/>
      <c r="K928" s="17">
        <f t="shared" si="113"/>
        <v>140</v>
      </c>
      <c r="L928" s="17">
        <f t="shared" si="113"/>
        <v>0</v>
      </c>
      <c r="M928" s="17">
        <f t="shared" si="111"/>
        <v>0</v>
      </c>
    </row>
    <row r="929" spans="1:13" s="12" customFormat="1" ht="63" customHeight="1" x14ac:dyDescent="0.2">
      <c r="A929" s="85"/>
      <c r="B929" s="33" t="s">
        <v>424</v>
      </c>
      <c r="C929" s="42">
        <v>925</v>
      </c>
      <c r="D929" s="26" t="s">
        <v>8</v>
      </c>
      <c r="E929" s="26" t="s">
        <v>24</v>
      </c>
      <c r="F929" s="13" t="s">
        <v>93</v>
      </c>
      <c r="G929" s="13" t="s">
        <v>126</v>
      </c>
      <c r="H929" s="13" t="s">
        <v>2</v>
      </c>
      <c r="I929" s="13"/>
      <c r="J929" s="13"/>
      <c r="K929" s="17">
        <f t="shared" si="113"/>
        <v>140</v>
      </c>
      <c r="L929" s="17">
        <f t="shared" si="113"/>
        <v>0</v>
      </c>
      <c r="M929" s="17">
        <f t="shared" si="111"/>
        <v>0</v>
      </c>
    </row>
    <row r="930" spans="1:13" s="12" customFormat="1" ht="93" customHeight="1" x14ac:dyDescent="0.2">
      <c r="A930" s="85"/>
      <c r="B930" s="33" t="s">
        <v>426</v>
      </c>
      <c r="C930" s="42">
        <v>925</v>
      </c>
      <c r="D930" s="26" t="s">
        <v>8</v>
      </c>
      <c r="E930" s="26" t="s">
        <v>24</v>
      </c>
      <c r="F930" s="13" t="s">
        <v>93</v>
      </c>
      <c r="G930" s="13" t="s">
        <v>126</v>
      </c>
      <c r="H930" s="13" t="s">
        <v>2</v>
      </c>
      <c r="I930" s="13" t="s">
        <v>387</v>
      </c>
      <c r="J930" s="13"/>
      <c r="K930" s="17">
        <f t="shared" si="113"/>
        <v>140</v>
      </c>
      <c r="L930" s="17">
        <f t="shared" si="113"/>
        <v>0</v>
      </c>
      <c r="M930" s="17">
        <f t="shared" si="111"/>
        <v>0</v>
      </c>
    </row>
    <row r="931" spans="1:13" s="12" customFormat="1" ht="35.25" customHeight="1" x14ac:dyDescent="0.2">
      <c r="A931" s="85"/>
      <c r="B931" s="33" t="s">
        <v>175</v>
      </c>
      <c r="C931" s="42">
        <v>925</v>
      </c>
      <c r="D931" s="26" t="s">
        <v>8</v>
      </c>
      <c r="E931" s="26" t="s">
        <v>24</v>
      </c>
      <c r="F931" s="13" t="s">
        <v>93</v>
      </c>
      <c r="G931" s="13" t="s">
        <v>126</v>
      </c>
      <c r="H931" s="13" t="s">
        <v>2</v>
      </c>
      <c r="I931" s="13" t="s">
        <v>387</v>
      </c>
      <c r="J931" s="13" t="s">
        <v>58</v>
      </c>
      <c r="K931" s="17">
        <f>70+40+30</f>
        <v>140</v>
      </c>
      <c r="L931" s="17">
        <v>0</v>
      </c>
      <c r="M931" s="17">
        <f t="shared" si="111"/>
        <v>0</v>
      </c>
    </row>
    <row r="932" spans="1:13" s="12" customFormat="1" ht="16.899999999999999" customHeight="1" x14ac:dyDescent="0.2">
      <c r="A932" s="85"/>
      <c r="B932" s="33" t="s">
        <v>20</v>
      </c>
      <c r="C932" s="42">
        <v>925</v>
      </c>
      <c r="D932" s="26" t="s">
        <v>21</v>
      </c>
      <c r="E932" s="26"/>
      <c r="F932" s="26"/>
      <c r="G932" s="42"/>
      <c r="H932" s="26"/>
      <c r="I932" s="26"/>
      <c r="J932" s="26"/>
      <c r="K932" s="17">
        <f t="shared" ref="K932:L936" si="114">SUM(K933)</f>
        <v>13003.3</v>
      </c>
      <c r="L932" s="17">
        <f t="shared" si="114"/>
        <v>7250.1</v>
      </c>
      <c r="M932" s="17">
        <f t="shared" si="111"/>
        <v>55.755846592787996</v>
      </c>
    </row>
    <row r="933" spans="1:13" s="12" customFormat="1" ht="16.149999999999999" customHeight="1" x14ac:dyDescent="0.2">
      <c r="A933" s="85"/>
      <c r="B933" s="33" t="s">
        <v>29</v>
      </c>
      <c r="C933" s="42">
        <v>925</v>
      </c>
      <c r="D933" s="26" t="s">
        <v>21</v>
      </c>
      <c r="E933" s="26" t="s">
        <v>6</v>
      </c>
      <c r="F933" s="26"/>
      <c r="G933" s="42"/>
      <c r="H933" s="26"/>
      <c r="I933" s="26"/>
      <c r="J933" s="26"/>
      <c r="K933" s="17">
        <f t="shared" si="114"/>
        <v>13003.3</v>
      </c>
      <c r="L933" s="17">
        <f t="shared" si="114"/>
        <v>7250.1</v>
      </c>
      <c r="M933" s="17">
        <f t="shared" si="111"/>
        <v>55.755846592787996</v>
      </c>
    </row>
    <row r="934" spans="1:13" s="12" customFormat="1" ht="31.5" customHeight="1" x14ac:dyDescent="0.2">
      <c r="A934" s="85"/>
      <c r="B934" s="33" t="s">
        <v>218</v>
      </c>
      <c r="C934" s="42">
        <v>925</v>
      </c>
      <c r="D934" s="26" t="s">
        <v>21</v>
      </c>
      <c r="E934" s="26" t="s">
        <v>6</v>
      </c>
      <c r="F934" s="26" t="s">
        <v>2</v>
      </c>
      <c r="G934" s="42"/>
      <c r="H934" s="26"/>
      <c r="I934" s="26"/>
      <c r="J934" s="26"/>
      <c r="K934" s="17">
        <f t="shared" si="114"/>
        <v>13003.3</v>
      </c>
      <c r="L934" s="17">
        <f t="shared" si="114"/>
        <v>7250.1</v>
      </c>
      <c r="M934" s="17">
        <f t="shared" si="111"/>
        <v>55.755846592787996</v>
      </c>
    </row>
    <row r="935" spans="1:13" s="12" customFormat="1" ht="47.45" customHeight="1" x14ac:dyDescent="0.2">
      <c r="A935" s="85"/>
      <c r="B935" s="50" t="s">
        <v>283</v>
      </c>
      <c r="C935" s="42">
        <v>925</v>
      </c>
      <c r="D935" s="26" t="s">
        <v>21</v>
      </c>
      <c r="E935" s="26" t="s">
        <v>6</v>
      </c>
      <c r="F935" s="26" t="s">
        <v>2</v>
      </c>
      <c r="G935" s="42">
        <v>1</v>
      </c>
      <c r="H935" s="26"/>
      <c r="I935" s="26"/>
      <c r="J935" s="26"/>
      <c r="K935" s="17">
        <f t="shared" si="114"/>
        <v>13003.3</v>
      </c>
      <c r="L935" s="17">
        <f t="shared" si="114"/>
        <v>7250.1</v>
      </c>
      <c r="M935" s="17">
        <f t="shared" si="111"/>
        <v>55.755846592787996</v>
      </c>
    </row>
    <row r="936" spans="1:13" s="12" customFormat="1" ht="80.45" customHeight="1" x14ac:dyDescent="0.2">
      <c r="A936" s="85"/>
      <c r="B936" s="50" t="s">
        <v>154</v>
      </c>
      <c r="C936" s="42">
        <v>925</v>
      </c>
      <c r="D936" s="26" t="s">
        <v>21</v>
      </c>
      <c r="E936" s="26" t="s">
        <v>6</v>
      </c>
      <c r="F936" s="26" t="s">
        <v>2</v>
      </c>
      <c r="G936" s="42">
        <v>1</v>
      </c>
      <c r="H936" s="26" t="s">
        <v>7</v>
      </c>
      <c r="I936" s="26"/>
      <c r="J936" s="26"/>
      <c r="K936" s="17">
        <f t="shared" si="114"/>
        <v>13003.3</v>
      </c>
      <c r="L936" s="17">
        <f t="shared" si="114"/>
        <v>7250.1</v>
      </c>
      <c r="M936" s="17">
        <f t="shared" si="111"/>
        <v>55.755846592787996</v>
      </c>
    </row>
    <row r="937" spans="1:13" s="12" customFormat="1" ht="78.599999999999994" customHeight="1" x14ac:dyDescent="0.2">
      <c r="A937" s="85"/>
      <c r="B937" s="64" t="s">
        <v>361</v>
      </c>
      <c r="C937" s="42">
        <v>925</v>
      </c>
      <c r="D937" s="26" t="s">
        <v>21</v>
      </c>
      <c r="E937" s="26" t="s">
        <v>6</v>
      </c>
      <c r="F937" s="26" t="s">
        <v>2</v>
      </c>
      <c r="G937" s="42">
        <v>1</v>
      </c>
      <c r="H937" s="26" t="s">
        <v>7</v>
      </c>
      <c r="I937" s="26" t="s">
        <v>164</v>
      </c>
      <c r="J937" s="26"/>
      <c r="K937" s="17">
        <f>SUM(K938:K940)</f>
        <v>13003.3</v>
      </c>
      <c r="L937" s="17">
        <f>SUM(L938:L940)</f>
        <v>7250.1</v>
      </c>
      <c r="M937" s="17">
        <f t="shared" si="111"/>
        <v>55.755846592787996</v>
      </c>
    </row>
    <row r="938" spans="1:13" s="12" customFormat="1" ht="34.15" customHeight="1" x14ac:dyDescent="0.2">
      <c r="A938" s="85"/>
      <c r="B938" s="33" t="s">
        <v>175</v>
      </c>
      <c r="C938" s="42">
        <v>925</v>
      </c>
      <c r="D938" s="26" t="s">
        <v>21</v>
      </c>
      <c r="E938" s="26" t="s">
        <v>6</v>
      </c>
      <c r="F938" s="26" t="s">
        <v>2</v>
      </c>
      <c r="G938" s="42">
        <v>1</v>
      </c>
      <c r="H938" s="26" t="s">
        <v>7</v>
      </c>
      <c r="I938" s="26" t="s">
        <v>164</v>
      </c>
      <c r="J938" s="26" t="s">
        <v>56</v>
      </c>
      <c r="K938" s="17"/>
      <c r="L938" s="46"/>
      <c r="M938" s="17"/>
    </row>
    <row r="939" spans="1:13" s="12" customFormat="1" ht="31.9" customHeight="1" x14ac:dyDescent="0.2">
      <c r="A939" s="85"/>
      <c r="B939" s="33" t="s">
        <v>175</v>
      </c>
      <c r="C939" s="42">
        <v>925</v>
      </c>
      <c r="D939" s="26" t="s">
        <v>21</v>
      </c>
      <c r="E939" s="26" t="s">
        <v>6</v>
      </c>
      <c r="F939" s="26" t="s">
        <v>2</v>
      </c>
      <c r="G939" s="42">
        <v>1</v>
      </c>
      <c r="H939" s="26" t="s">
        <v>7</v>
      </c>
      <c r="I939" s="26" t="s">
        <v>164</v>
      </c>
      <c r="J939" s="26" t="s">
        <v>58</v>
      </c>
      <c r="K939" s="17">
        <f>124.1-5.3</f>
        <v>118.8</v>
      </c>
      <c r="L939" s="17">
        <v>61.3</v>
      </c>
      <c r="M939" s="17">
        <f t="shared" si="111"/>
        <v>51.599326599326602</v>
      </c>
    </row>
    <row r="940" spans="1:13" s="12" customFormat="1" ht="15" customHeight="1" x14ac:dyDescent="0.2">
      <c r="A940" s="86"/>
      <c r="B940" s="33" t="s">
        <v>69</v>
      </c>
      <c r="C940" s="42">
        <v>925</v>
      </c>
      <c r="D940" s="26" t="s">
        <v>21</v>
      </c>
      <c r="E940" s="26" t="s">
        <v>6</v>
      </c>
      <c r="F940" s="26" t="s">
        <v>2</v>
      </c>
      <c r="G940" s="42">
        <v>1</v>
      </c>
      <c r="H940" s="26" t="s">
        <v>7</v>
      </c>
      <c r="I940" s="26" t="s">
        <v>164</v>
      </c>
      <c r="J940" s="26" t="s">
        <v>70</v>
      </c>
      <c r="K940" s="17">
        <f>13459.3-574.8</f>
        <v>12884.5</v>
      </c>
      <c r="L940" s="17">
        <v>7188.8</v>
      </c>
      <c r="M940" s="17">
        <f t="shared" si="111"/>
        <v>55.794171291086194</v>
      </c>
    </row>
    <row r="941" spans="1:13" s="12" customFormat="1" ht="34.15" customHeight="1" x14ac:dyDescent="0.2">
      <c r="A941" s="87">
        <v>10</v>
      </c>
      <c r="B941" s="33" t="s">
        <v>345</v>
      </c>
      <c r="C941" s="42">
        <v>926</v>
      </c>
      <c r="D941" s="26"/>
      <c r="E941" s="26"/>
      <c r="F941" s="26"/>
      <c r="G941" s="42"/>
      <c r="H941" s="26"/>
      <c r="I941" s="26"/>
      <c r="J941" s="26"/>
      <c r="K941" s="17">
        <f>SUM(K942+K949+K997)</f>
        <v>119265.69999999998</v>
      </c>
      <c r="L941" s="17">
        <f>SUM(L942+L949+L997)</f>
        <v>86871.4</v>
      </c>
      <c r="M941" s="17">
        <f t="shared" si="111"/>
        <v>72.838544527051781</v>
      </c>
    </row>
    <row r="942" spans="1:13" s="12" customFormat="1" ht="31.9" customHeight="1" x14ac:dyDescent="0.2">
      <c r="A942" s="85"/>
      <c r="B942" s="33" t="s">
        <v>14</v>
      </c>
      <c r="C942" s="42">
        <v>926</v>
      </c>
      <c r="D942" s="26" t="s">
        <v>5</v>
      </c>
      <c r="E942" s="26"/>
      <c r="F942" s="26"/>
      <c r="G942" s="42"/>
      <c r="H942" s="26"/>
      <c r="I942" s="26"/>
      <c r="J942" s="26"/>
      <c r="K942" s="17">
        <f t="shared" ref="K942:L947" si="115">K943</f>
        <v>30</v>
      </c>
      <c r="L942" s="17">
        <f t="shared" si="115"/>
        <v>0</v>
      </c>
      <c r="M942" s="17">
        <f t="shared" si="111"/>
        <v>0</v>
      </c>
    </row>
    <row r="943" spans="1:13" s="12" customFormat="1" ht="34.15" customHeight="1" x14ac:dyDescent="0.2">
      <c r="A943" s="85"/>
      <c r="B943" s="33" t="s">
        <v>190</v>
      </c>
      <c r="C943" s="42">
        <v>926</v>
      </c>
      <c r="D943" s="26" t="s">
        <v>5</v>
      </c>
      <c r="E943" s="13" t="s">
        <v>10</v>
      </c>
      <c r="F943" s="13"/>
      <c r="G943" s="25"/>
      <c r="H943" s="13"/>
      <c r="I943" s="13"/>
      <c r="J943" s="26"/>
      <c r="K943" s="17">
        <f t="shared" si="115"/>
        <v>30</v>
      </c>
      <c r="L943" s="17">
        <f t="shared" si="115"/>
        <v>0</v>
      </c>
      <c r="M943" s="17">
        <f t="shared" si="111"/>
        <v>0</v>
      </c>
    </row>
    <row r="944" spans="1:13" s="12" customFormat="1" ht="33.6" customHeight="1" x14ac:dyDescent="0.2">
      <c r="A944" s="85"/>
      <c r="B944" s="54" t="s">
        <v>258</v>
      </c>
      <c r="C944" s="42">
        <v>926</v>
      </c>
      <c r="D944" s="13" t="s">
        <v>5</v>
      </c>
      <c r="E944" s="13" t="s">
        <v>10</v>
      </c>
      <c r="F944" s="13" t="s">
        <v>111</v>
      </c>
      <c r="G944" s="13"/>
      <c r="H944" s="13"/>
      <c r="I944" s="13"/>
      <c r="J944" s="26"/>
      <c r="K944" s="17">
        <f t="shared" si="115"/>
        <v>30</v>
      </c>
      <c r="L944" s="17">
        <f t="shared" si="115"/>
        <v>0</v>
      </c>
      <c r="M944" s="17">
        <f t="shared" si="111"/>
        <v>0</v>
      </c>
    </row>
    <row r="945" spans="1:13" s="12" customFormat="1" ht="51" customHeight="1" x14ac:dyDescent="0.2">
      <c r="A945" s="85"/>
      <c r="B945" s="54" t="s">
        <v>259</v>
      </c>
      <c r="C945" s="42">
        <v>926</v>
      </c>
      <c r="D945" s="13" t="s">
        <v>5</v>
      </c>
      <c r="E945" s="13" t="s">
        <v>10</v>
      </c>
      <c r="F945" s="13" t="s">
        <v>111</v>
      </c>
      <c r="G945" s="13" t="s">
        <v>166</v>
      </c>
      <c r="H945" s="13"/>
      <c r="I945" s="13"/>
      <c r="J945" s="26"/>
      <c r="K945" s="17">
        <f t="shared" si="115"/>
        <v>30</v>
      </c>
      <c r="L945" s="17">
        <f t="shared" si="115"/>
        <v>0</v>
      </c>
      <c r="M945" s="17">
        <f t="shared" si="111"/>
        <v>0</v>
      </c>
    </row>
    <row r="946" spans="1:13" s="12" customFormat="1" ht="48.6" customHeight="1" x14ac:dyDescent="0.2">
      <c r="A946" s="85"/>
      <c r="B946" s="54" t="s">
        <v>191</v>
      </c>
      <c r="C946" s="42">
        <v>926</v>
      </c>
      <c r="D946" s="13" t="s">
        <v>5</v>
      </c>
      <c r="E946" s="13" t="s">
        <v>10</v>
      </c>
      <c r="F946" s="13" t="s">
        <v>111</v>
      </c>
      <c r="G946" s="13" t="s">
        <v>166</v>
      </c>
      <c r="H946" s="13" t="s">
        <v>2</v>
      </c>
      <c r="I946" s="13"/>
      <c r="J946" s="26"/>
      <c r="K946" s="17">
        <f t="shared" si="115"/>
        <v>30</v>
      </c>
      <c r="L946" s="17">
        <f t="shared" si="115"/>
        <v>0</v>
      </c>
      <c r="M946" s="17">
        <f t="shared" si="111"/>
        <v>0</v>
      </c>
    </row>
    <row r="947" spans="1:13" s="12" customFormat="1" ht="48.6" customHeight="1" x14ac:dyDescent="0.2">
      <c r="A947" s="85"/>
      <c r="B947" s="54" t="s">
        <v>193</v>
      </c>
      <c r="C947" s="42">
        <v>926</v>
      </c>
      <c r="D947" s="13" t="s">
        <v>5</v>
      </c>
      <c r="E947" s="13" t="s">
        <v>10</v>
      </c>
      <c r="F947" s="13" t="s">
        <v>111</v>
      </c>
      <c r="G947" s="13" t="s">
        <v>166</v>
      </c>
      <c r="H947" s="13" t="s">
        <v>2</v>
      </c>
      <c r="I947" s="13" t="s">
        <v>196</v>
      </c>
      <c r="J947" s="26"/>
      <c r="K947" s="17">
        <f t="shared" si="115"/>
        <v>30</v>
      </c>
      <c r="L947" s="17">
        <f t="shared" si="115"/>
        <v>0</v>
      </c>
      <c r="M947" s="17">
        <f t="shared" si="111"/>
        <v>0</v>
      </c>
    </row>
    <row r="948" spans="1:13" s="12" customFormat="1" ht="33.6" customHeight="1" x14ac:dyDescent="0.2">
      <c r="A948" s="85"/>
      <c r="B948" s="33" t="s">
        <v>175</v>
      </c>
      <c r="C948" s="42">
        <v>926</v>
      </c>
      <c r="D948" s="13" t="s">
        <v>5</v>
      </c>
      <c r="E948" s="13" t="s">
        <v>10</v>
      </c>
      <c r="F948" s="13" t="s">
        <v>111</v>
      </c>
      <c r="G948" s="13" t="s">
        <v>166</v>
      </c>
      <c r="H948" s="13" t="s">
        <v>2</v>
      </c>
      <c r="I948" s="13" t="s">
        <v>196</v>
      </c>
      <c r="J948" s="26" t="s">
        <v>58</v>
      </c>
      <c r="K948" s="17">
        <v>30</v>
      </c>
      <c r="L948" s="17">
        <v>0</v>
      </c>
      <c r="M948" s="17">
        <f t="shared" si="111"/>
        <v>0</v>
      </c>
    </row>
    <row r="949" spans="1:13" s="12" customFormat="1" ht="19.149999999999999" customHeight="1" x14ac:dyDescent="0.2">
      <c r="A949" s="85"/>
      <c r="B949" s="33" t="s">
        <v>18</v>
      </c>
      <c r="C949" s="42">
        <v>926</v>
      </c>
      <c r="D949" s="13" t="s">
        <v>8</v>
      </c>
      <c r="E949" s="26"/>
      <c r="F949" s="26"/>
      <c r="G949" s="42"/>
      <c r="H949" s="26"/>
      <c r="I949" s="26"/>
      <c r="J949" s="26"/>
      <c r="K949" s="17">
        <f>SUM(K950+K991)</f>
        <v>100447.99999999999</v>
      </c>
      <c r="L949" s="17">
        <f>SUM(L950+L991)</f>
        <v>74959.199999999997</v>
      </c>
      <c r="M949" s="17">
        <f t="shared" si="111"/>
        <v>74.624880535202294</v>
      </c>
    </row>
    <row r="950" spans="1:13" s="12" customFormat="1" ht="19.899999999999999" customHeight="1" x14ac:dyDescent="0.2">
      <c r="A950" s="85"/>
      <c r="B950" s="33" t="s">
        <v>219</v>
      </c>
      <c r="C950" s="42">
        <v>926</v>
      </c>
      <c r="D950" s="26" t="s">
        <v>8</v>
      </c>
      <c r="E950" s="26" t="s">
        <v>5</v>
      </c>
      <c r="F950" s="26"/>
      <c r="G950" s="42"/>
      <c r="H950" s="26"/>
      <c r="I950" s="26"/>
      <c r="J950" s="26"/>
      <c r="K950" s="17">
        <f>SUM(K951+K959+K981+K986)</f>
        <v>100430.79999999999</v>
      </c>
      <c r="L950" s="17">
        <f>SUM(L951+L959+L981+L986)</f>
        <v>74959.199999999997</v>
      </c>
      <c r="M950" s="17">
        <f t="shared" si="111"/>
        <v>74.637660956598978</v>
      </c>
    </row>
    <row r="951" spans="1:13" s="12" customFormat="1" ht="34.9" customHeight="1" x14ac:dyDescent="0.2">
      <c r="A951" s="85"/>
      <c r="B951" s="50" t="s">
        <v>352</v>
      </c>
      <c r="C951" s="42">
        <v>926</v>
      </c>
      <c r="D951" s="26" t="s">
        <v>8</v>
      </c>
      <c r="E951" s="26" t="s">
        <v>5</v>
      </c>
      <c r="F951" s="13" t="s">
        <v>4</v>
      </c>
      <c r="G951" s="13"/>
      <c r="H951" s="13"/>
      <c r="I951" s="13"/>
      <c r="J951" s="26"/>
      <c r="K951" s="17">
        <f>K952</f>
        <v>6697.5</v>
      </c>
      <c r="L951" s="17">
        <f>L952</f>
        <v>6697.5</v>
      </c>
      <c r="M951" s="17">
        <f t="shared" si="111"/>
        <v>100</v>
      </c>
    </row>
    <row r="952" spans="1:13" s="12" customFormat="1" ht="35.450000000000003" customHeight="1" x14ac:dyDescent="0.2">
      <c r="A952" s="85"/>
      <c r="B952" s="50" t="s">
        <v>146</v>
      </c>
      <c r="C952" s="42">
        <v>926</v>
      </c>
      <c r="D952" s="26" t="s">
        <v>8</v>
      </c>
      <c r="E952" s="26" t="s">
        <v>5</v>
      </c>
      <c r="F952" s="13" t="s">
        <v>4</v>
      </c>
      <c r="G952" s="13" t="s">
        <v>126</v>
      </c>
      <c r="H952" s="13"/>
      <c r="I952" s="13"/>
      <c r="J952" s="26"/>
      <c r="K952" s="17">
        <f>K953+K956</f>
        <v>6697.5</v>
      </c>
      <c r="L952" s="17">
        <f>L953+L956</f>
        <v>6697.5</v>
      </c>
      <c r="M952" s="17">
        <f t="shared" si="111"/>
        <v>100</v>
      </c>
    </row>
    <row r="953" spans="1:13" s="12" customFormat="1" ht="64.900000000000006" customHeight="1" x14ac:dyDescent="0.2">
      <c r="A953" s="85"/>
      <c r="B953" s="50" t="s">
        <v>147</v>
      </c>
      <c r="C953" s="42">
        <v>926</v>
      </c>
      <c r="D953" s="26" t="s">
        <v>8</v>
      </c>
      <c r="E953" s="26" t="s">
        <v>5</v>
      </c>
      <c r="F953" s="13" t="s">
        <v>4</v>
      </c>
      <c r="G953" s="13" t="s">
        <v>126</v>
      </c>
      <c r="H953" s="13" t="s">
        <v>2</v>
      </c>
      <c r="I953" s="13"/>
      <c r="J953" s="26"/>
      <c r="K953" s="17">
        <f>K954</f>
        <v>6697.5</v>
      </c>
      <c r="L953" s="17">
        <f>L954</f>
        <v>6697.5</v>
      </c>
      <c r="M953" s="17">
        <f t="shared" si="111"/>
        <v>100</v>
      </c>
    </row>
    <row r="954" spans="1:13" s="12" customFormat="1" ht="46.9" customHeight="1" x14ac:dyDescent="0.2">
      <c r="A954" s="85"/>
      <c r="B954" s="50" t="s">
        <v>400</v>
      </c>
      <c r="C954" s="42">
        <v>926</v>
      </c>
      <c r="D954" s="26" t="s">
        <v>8</v>
      </c>
      <c r="E954" s="26" t="s">
        <v>5</v>
      </c>
      <c r="F954" s="13" t="s">
        <v>4</v>
      </c>
      <c r="G954" s="13" t="s">
        <v>126</v>
      </c>
      <c r="H954" s="13" t="s">
        <v>2</v>
      </c>
      <c r="I954" s="13" t="s">
        <v>351</v>
      </c>
      <c r="J954" s="26"/>
      <c r="K954" s="17">
        <f>K955</f>
        <v>6697.5</v>
      </c>
      <c r="L954" s="17">
        <f>L955</f>
        <v>6697.5</v>
      </c>
      <c r="M954" s="17">
        <f t="shared" si="111"/>
        <v>100</v>
      </c>
    </row>
    <row r="955" spans="1:13" s="12" customFormat="1" ht="35.25" customHeight="1" x14ac:dyDescent="0.2">
      <c r="A955" s="85"/>
      <c r="B955" s="33" t="s">
        <v>353</v>
      </c>
      <c r="C955" s="42">
        <v>926</v>
      </c>
      <c r="D955" s="26" t="s">
        <v>8</v>
      </c>
      <c r="E955" s="26" t="s">
        <v>5</v>
      </c>
      <c r="F955" s="13" t="s">
        <v>4</v>
      </c>
      <c r="G955" s="13" t="s">
        <v>126</v>
      </c>
      <c r="H955" s="13" t="s">
        <v>2</v>
      </c>
      <c r="I955" s="13" t="s">
        <v>351</v>
      </c>
      <c r="J955" s="26" t="s">
        <v>77</v>
      </c>
      <c r="K955" s="17">
        <f>321.3+477.3+1469.9+1293.3+3135.8-0.1</f>
        <v>6697.5</v>
      </c>
      <c r="L955" s="17">
        <v>6697.5</v>
      </c>
      <c r="M955" s="17">
        <f t="shared" si="111"/>
        <v>100</v>
      </c>
    </row>
    <row r="956" spans="1:13" s="12" customFormat="1" ht="21" customHeight="1" x14ac:dyDescent="0.2">
      <c r="A956" s="85"/>
      <c r="B956" s="50" t="s">
        <v>451</v>
      </c>
      <c r="C956" s="42">
        <v>926</v>
      </c>
      <c r="D956" s="26" t="s">
        <v>8</v>
      </c>
      <c r="E956" s="26" t="s">
        <v>5</v>
      </c>
      <c r="F956" s="13" t="s">
        <v>4</v>
      </c>
      <c r="G956" s="13" t="s">
        <v>126</v>
      </c>
      <c r="H956" s="13" t="s">
        <v>452</v>
      </c>
      <c r="I956" s="13"/>
      <c r="J956" s="26"/>
      <c r="K956" s="17">
        <f>K957</f>
        <v>0</v>
      </c>
      <c r="L956" s="17">
        <f>L957</f>
        <v>0</v>
      </c>
      <c r="M956" s="17"/>
    </row>
    <row r="957" spans="1:13" s="12" customFormat="1" ht="18.600000000000001" customHeight="1" x14ac:dyDescent="0.2">
      <c r="A957" s="85"/>
      <c r="B957" s="50" t="s">
        <v>453</v>
      </c>
      <c r="C957" s="42">
        <v>926</v>
      </c>
      <c r="D957" s="26" t="s">
        <v>8</v>
      </c>
      <c r="E957" s="26" t="s">
        <v>5</v>
      </c>
      <c r="F957" s="13" t="s">
        <v>4</v>
      </c>
      <c r="G957" s="13" t="s">
        <v>126</v>
      </c>
      <c r="H957" s="13" t="s">
        <v>452</v>
      </c>
      <c r="I957" s="13" t="s">
        <v>454</v>
      </c>
      <c r="J957" s="26"/>
      <c r="K957" s="17">
        <f>K958</f>
        <v>0</v>
      </c>
      <c r="L957" s="17">
        <f>L958</f>
        <v>0</v>
      </c>
      <c r="M957" s="17"/>
    </row>
    <row r="958" spans="1:13" s="12" customFormat="1" ht="36" customHeight="1" x14ac:dyDescent="0.2">
      <c r="A958" s="85"/>
      <c r="B958" s="33" t="s">
        <v>353</v>
      </c>
      <c r="C958" s="42">
        <v>926</v>
      </c>
      <c r="D958" s="26" t="s">
        <v>8</v>
      </c>
      <c r="E958" s="26" t="s">
        <v>5</v>
      </c>
      <c r="F958" s="13" t="s">
        <v>4</v>
      </c>
      <c r="G958" s="13" t="s">
        <v>126</v>
      </c>
      <c r="H958" s="13" t="s">
        <v>452</v>
      </c>
      <c r="I958" s="13" t="s">
        <v>454</v>
      </c>
      <c r="J958" s="26" t="s">
        <v>77</v>
      </c>
      <c r="K958" s="17">
        <f>6436.2+961.8-7398</f>
        <v>0</v>
      </c>
      <c r="L958" s="17">
        <v>0</v>
      </c>
      <c r="M958" s="17"/>
    </row>
    <row r="959" spans="1:13" s="12" customFormat="1" ht="31.15" customHeight="1" x14ac:dyDescent="0.2">
      <c r="A959" s="85"/>
      <c r="B959" s="50" t="s">
        <v>288</v>
      </c>
      <c r="C959" s="42">
        <v>926</v>
      </c>
      <c r="D959" s="26" t="s">
        <v>8</v>
      </c>
      <c r="E959" s="26" t="s">
        <v>5</v>
      </c>
      <c r="F959" s="26" t="s">
        <v>6</v>
      </c>
      <c r="G959" s="42"/>
      <c r="H959" s="26"/>
      <c r="I959" s="26"/>
      <c r="J959" s="26"/>
      <c r="K959" s="17">
        <f>SUM(K960+K964+K974)</f>
        <v>88421.799999999988</v>
      </c>
      <c r="L959" s="17">
        <f>SUM(L960+L964+L974)</f>
        <v>64274.9</v>
      </c>
      <c r="M959" s="17">
        <f t="shared" si="111"/>
        <v>72.691236776451063</v>
      </c>
    </row>
    <row r="960" spans="1:13" s="12" customFormat="1" ht="31.5" x14ac:dyDescent="0.2">
      <c r="A960" s="85"/>
      <c r="B960" s="50" t="s">
        <v>289</v>
      </c>
      <c r="C960" s="42">
        <v>926</v>
      </c>
      <c r="D960" s="26" t="s">
        <v>8</v>
      </c>
      <c r="E960" s="26" t="s">
        <v>5</v>
      </c>
      <c r="F960" s="26" t="s">
        <v>6</v>
      </c>
      <c r="G960" s="42">
        <v>1</v>
      </c>
      <c r="H960" s="26"/>
      <c r="I960" s="26"/>
      <c r="J960" s="26"/>
      <c r="K960" s="17">
        <f t="shared" ref="K960:L962" si="116">SUM(K961)</f>
        <v>78580.899999999994</v>
      </c>
      <c r="L960" s="17">
        <f t="shared" si="116"/>
        <v>56736.5</v>
      </c>
      <c r="M960" s="17">
        <f t="shared" si="111"/>
        <v>72.201387360032783</v>
      </c>
    </row>
    <row r="961" spans="1:13" s="12" customFormat="1" ht="49.9" customHeight="1" x14ac:dyDescent="0.2">
      <c r="A961" s="85"/>
      <c r="B961" s="50" t="s">
        <v>290</v>
      </c>
      <c r="C961" s="42">
        <v>926</v>
      </c>
      <c r="D961" s="26" t="s">
        <v>8</v>
      </c>
      <c r="E961" s="26" t="s">
        <v>5</v>
      </c>
      <c r="F961" s="26" t="s">
        <v>6</v>
      </c>
      <c r="G961" s="42">
        <v>1</v>
      </c>
      <c r="H961" s="26" t="s">
        <v>5</v>
      </c>
      <c r="I961" s="26"/>
      <c r="J961" s="26"/>
      <c r="K961" s="17">
        <f t="shared" si="116"/>
        <v>78580.899999999994</v>
      </c>
      <c r="L961" s="17">
        <f t="shared" si="116"/>
        <v>56736.5</v>
      </c>
      <c r="M961" s="17">
        <f t="shared" si="111"/>
        <v>72.201387360032783</v>
      </c>
    </row>
    <row r="962" spans="1:13" s="12" customFormat="1" ht="64.900000000000006" customHeight="1" x14ac:dyDescent="0.2">
      <c r="A962" s="85"/>
      <c r="B962" s="33" t="s">
        <v>88</v>
      </c>
      <c r="C962" s="42">
        <v>926</v>
      </c>
      <c r="D962" s="26" t="s">
        <v>8</v>
      </c>
      <c r="E962" s="26" t="s">
        <v>5</v>
      </c>
      <c r="F962" s="26" t="s">
        <v>6</v>
      </c>
      <c r="G962" s="42">
        <v>1</v>
      </c>
      <c r="H962" s="26" t="s">
        <v>5</v>
      </c>
      <c r="I962" s="26" t="s">
        <v>116</v>
      </c>
      <c r="J962" s="26"/>
      <c r="K962" s="17">
        <f t="shared" si="116"/>
        <v>78580.899999999994</v>
      </c>
      <c r="L962" s="17">
        <f t="shared" si="116"/>
        <v>56736.5</v>
      </c>
      <c r="M962" s="17">
        <f t="shared" si="111"/>
        <v>72.201387360032783</v>
      </c>
    </row>
    <row r="963" spans="1:13" s="12" customFormat="1" ht="37.15" customHeight="1" x14ac:dyDescent="0.2">
      <c r="A963" s="85"/>
      <c r="B963" s="53" t="s">
        <v>76</v>
      </c>
      <c r="C963" s="42">
        <v>926</v>
      </c>
      <c r="D963" s="26" t="s">
        <v>8</v>
      </c>
      <c r="E963" s="26" t="s">
        <v>5</v>
      </c>
      <c r="F963" s="26" t="s">
        <v>6</v>
      </c>
      <c r="G963" s="42">
        <v>1</v>
      </c>
      <c r="H963" s="26" t="s">
        <v>5</v>
      </c>
      <c r="I963" s="26" t="s">
        <v>116</v>
      </c>
      <c r="J963" s="26" t="s">
        <v>77</v>
      </c>
      <c r="K963" s="17">
        <f>75027.7+3553.2</f>
        <v>78580.899999999994</v>
      </c>
      <c r="L963" s="17">
        <v>56736.5</v>
      </c>
      <c r="M963" s="17">
        <f t="shared" si="111"/>
        <v>72.201387360032783</v>
      </c>
    </row>
    <row r="964" spans="1:13" s="12" customFormat="1" ht="39" customHeight="1" x14ac:dyDescent="0.2">
      <c r="A964" s="85"/>
      <c r="B964" s="53" t="s">
        <v>313</v>
      </c>
      <c r="C964" s="42">
        <v>926</v>
      </c>
      <c r="D964" s="26" t="s">
        <v>8</v>
      </c>
      <c r="E964" s="26" t="s">
        <v>5</v>
      </c>
      <c r="F964" s="26" t="s">
        <v>6</v>
      </c>
      <c r="G964" s="42">
        <v>2</v>
      </c>
      <c r="H964" s="26"/>
      <c r="I964" s="26"/>
      <c r="J964" s="26"/>
      <c r="K964" s="17">
        <f>K965</f>
        <v>9547.9</v>
      </c>
      <c r="L964" s="17">
        <f>L965</f>
        <v>7430.4000000000005</v>
      </c>
      <c r="M964" s="17">
        <f t="shared" si="111"/>
        <v>77.822348369798604</v>
      </c>
    </row>
    <row r="965" spans="1:13" s="12" customFormat="1" ht="66.599999999999994" customHeight="1" x14ac:dyDescent="0.2">
      <c r="A965" s="85"/>
      <c r="B965" s="53" t="s">
        <v>291</v>
      </c>
      <c r="C965" s="42">
        <v>926</v>
      </c>
      <c r="D965" s="26" t="s">
        <v>8</v>
      </c>
      <c r="E965" s="26" t="s">
        <v>5</v>
      </c>
      <c r="F965" s="26" t="s">
        <v>6</v>
      </c>
      <c r="G965" s="42">
        <v>2</v>
      </c>
      <c r="H965" s="26" t="s">
        <v>2</v>
      </c>
      <c r="I965" s="26"/>
      <c r="J965" s="26"/>
      <c r="K965" s="17">
        <f>K966+K968+K970+K972</f>
        <v>9547.9</v>
      </c>
      <c r="L965" s="17">
        <f>L966+L968+L970+L972</f>
        <v>7430.4000000000005</v>
      </c>
      <c r="M965" s="17">
        <f t="shared" si="111"/>
        <v>77.822348369798604</v>
      </c>
    </row>
    <row r="966" spans="1:13" s="12" customFormat="1" ht="66.599999999999994" customHeight="1" x14ac:dyDescent="0.2">
      <c r="A966" s="85"/>
      <c r="B966" s="34" t="s">
        <v>292</v>
      </c>
      <c r="C966" s="42">
        <v>926</v>
      </c>
      <c r="D966" s="26" t="s">
        <v>8</v>
      </c>
      <c r="E966" s="26" t="s">
        <v>5</v>
      </c>
      <c r="F966" s="26" t="s">
        <v>6</v>
      </c>
      <c r="G966" s="42">
        <v>2</v>
      </c>
      <c r="H966" s="26" t="s">
        <v>2</v>
      </c>
      <c r="I966" s="26" t="s">
        <v>208</v>
      </c>
      <c r="J966" s="26"/>
      <c r="K966" s="17">
        <f>SUM(K967)</f>
        <v>8996.6</v>
      </c>
      <c r="L966" s="17">
        <f>SUM(L967)</f>
        <v>7039.1</v>
      </c>
      <c r="M966" s="17">
        <f t="shared" si="111"/>
        <v>78.241780228086171</v>
      </c>
    </row>
    <row r="967" spans="1:13" s="12" customFormat="1" ht="40.15" customHeight="1" x14ac:dyDescent="0.2">
      <c r="A967" s="85"/>
      <c r="B967" s="53" t="s">
        <v>76</v>
      </c>
      <c r="C967" s="42">
        <v>926</v>
      </c>
      <c r="D967" s="26" t="s">
        <v>8</v>
      </c>
      <c r="E967" s="26" t="s">
        <v>5</v>
      </c>
      <c r="F967" s="26" t="s">
        <v>6</v>
      </c>
      <c r="G967" s="42">
        <v>2</v>
      </c>
      <c r="H967" s="26" t="s">
        <v>2</v>
      </c>
      <c r="I967" s="26" t="s">
        <v>208</v>
      </c>
      <c r="J967" s="26" t="s">
        <v>77</v>
      </c>
      <c r="K967" s="17">
        <f>4498.3+4498.3</f>
        <v>8996.6</v>
      </c>
      <c r="L967" s="17">
        <v>7039.1</v>
      </c>
      <c r="M967" s="17">
        <f t="shared" si="111"/>
        <v>78.241780228086171</v>
      </c>
    </row>
    <row r="968" spans="1:13" s="12" customFormat="1" ht="52.15" customHeight="1" x14ac:dyDescent="0.2">
      <c r="A968" s="85"/>
      <c r="B968" s="34" t="s">
        <v>293</v>
      </c>
      <c r="C968" s="42">
        <v>926</v>
      </c>
      <c r="D968" s="26" t="s">
        <v>8</v>
      </c>
      <c r="E968" s="26" t="s">
        <v>5</v>
      </c>
      <c r="F968" s="26" t="s">
        <v>6</v>
      </c>
      <c r="G968" s="42">
        <v>2</v>
      </c>
      <c r="H968" s="26" t="s">
        <v>2</v>
      </c>
      <c r="I968" s="26" t="s">
        <v>207</v>
      </c>
      <c r="J968" s="26"/>
      <c r="K968" s="17">
        <f>SUM(K969)</f>
        <v>0</v>
      </c>
      <c r="L968" s="17">
        <f>SUM(L969)</f>
        <v>0</v>
      </c>
      <c r="M968" s="17"/>
    </row>
    <row r="969" spans="1:13" s="12" customFormat="1" ht="36" customHeight="1" x14ac:dyDescent="0.2">
      <c r="A969" s="85"/>
      <c r="B969" s="53" t="s">
        <v>76</v>
      </c>
      <c r="C969" s="42">
        <v>926</v>
      </c>
      <c r="D969" s="26" t="s">
        <v>8</v>
      </c>
      <c r="E969" s="26" t="s">
        <v>5</v>
      </c>
      <c r="F969" s="26" t="s">
        <v>6</v>
      </c>
      <c r="G969" s="42">
        <v>2</v>
      </c>
      <c r="H969" s="26" t="s">
        <v>2</v>
      </c>
      <c r="I969" s="26" t="s">
        <v>207</v>
      </c>
      <c r="J969" s="26" t="s">
        <v>77</v>
      </c>
      <c r="K969" s="17">
        <v>0</v>
      </c>
      <c r="L969" s="17">
        <v>0</v>
      </c>
      <c r="M969" s="17"/>
    </row>
    <row r="970" spans="1:13" s="12" customFormat="1" ht="66" customHeight="1" x14ac:dyDescent="0.2">
      <c r="A970" s="85"/>
      <c r="B970" s="34" t="s">
        <v>294</v>
      </c>
      <c r="C970" s="42">
        <v>926</v>
      </c>
      <c r="D970" s="26" t="s">
        <v>8</v>
      </c>
      <c r="E970" s="26" t="s">
        <v>5</v>
      </c>
      <c r="F970" s="26" t="s">
        <v>6</v>
      </c>
      <c r="G970" s="42">
        <v>2</v>
      </c>
      <c r="H970" s="26" t="s">
        <v>2</v>
      </c>
      <c r="I970" s="26" t="s">
        <v>214</v>
      </c>
      <c r="J970" s="26"/>
      <c r="K970" s="17">
        <f>SUM(K971)</f>
        <v>480</v>
      </c>
      <c r="L970" s="17">
        <f>SUM(L971)</f>
        <v>340</v>
      </c>
      <c r="M970" s="17">
        <f t="shared" si="111"/>
        <v>70.833333333333343</v>
      </c>
    </row>
    <row r="971" spans="1:13" s="12" customFormat="1" ht="36" customHeight="1" x14ac:dyDescent="0.2">
      <c r="A971" s="85"/>
      <c r="B971" s="53" t="s">
        <v>76</v>
      </c>
      <c r="C971" s="42">
        <v>926</v>
      </c>
      <c r="D971" s="26" t="s">
        <v>8</v>
      </c>
      <c r="E971" s="26" t="s">
        <v>5</v>
      </c>
      <c r="F971" s="26" t="s">
        <v>6</v>
      </c>
      <c r="G971" s="42">
        <v>2</v>
      </c>
      <c r="H971" s="26" t="s">
        <v>2</v>
      </c>
      <c r="I971" s="26" t="s">
        <v>214</v>
      </c>
      <c r="J971" s="26" t="s">
        <v>77</v>
      </c>
      <c r="K971" s="17">
        <f>120+360</f>
        <v>480</v>
      </c>
      <c r="L971" s="17">
        <v>340</v>
      </c>
      <c r="M971" s="17">
        <f t="shared" si="111"/>
        <v>70.833333333333343</v>
      </c>
    </row>
    <row r="972" spans="1:13" s="12" customFormat="1" ht="130.9" customHeight="1" x14ac:dyDescent="0.2">
      <c r="A972" s="85"/>
      <c r="B972" s="64" t="s">
        <v>359</v>
      </c>
      <c r="C972" s="42">
        <v>926</v>
      </c>
      <c r="D972" s="26" t="s">
        <v>8</v>
      </c>
      <c r="E972" s="26" t="s">
        <v>5</v>
      </c>
      <c r="F972" s="26" t="s">
        <v>6</v>
      </c>
      <c r="G972" s="42">
        <v>2</v>
      </c>
      <c r="H972" s="26" t="s">
        <v>2</v>
      </c>
      <c r="I972" s="26" t="s">
        <v>153</v>
      </c>
      <c r="J972" s="26"/>
      <c r="K972" s="17">
        <f t="shared" ref="K972:L972" si="117">SUM(K973)</f>
        <v>71.3</v>
      </c>
      <c r="L972" s="17">
        <f t="shared" si="117"/>
        <v>51.3</v>
      </c>
      <c r="M972" s="17">
        <f t="shared" si="111"/>
        <v>71.949509116409544</v>
      </c>
    </row>
    <row r="973" spans="1:13" s="12" customFormat="1" ht="31.5" x14ac:dyDescent="0.2">
      <c r="A973" s="85"/>
      <c r="B973" s="53" t="s">
        <v>173</v>
      </c>
      <c r="C973" s="42">
        <v>926</v>
      </c>
      <c r="D973" s="26" t="s">
        <v>8</v>
      </c>
      <c r="E973" s="26" t="s">
        <v>5</v>
      </c>
      <c r="F973" s="26" t="s">
        <v>6</v>
      </c>
      <c r="G973" s="42">
        <v>2</v>
      </c>
      <c r="H973" s="26" t="s">
        <v>2</v>
      </c>
      <c r="I973" s="26" t="s">
        <v>153</v>
      </c>
      <c r="J973" s="26" t="s">
        <v>77</v>
      </c>
      <c r="K973" s="17">
        <v>71.3</v>
      </c>
      <c r="L973" s="17">
        <v>51.3</v>
      </c>
      <c r="M973" s="17">
        <f t="shared" si="111"/>
        <v>71.949509116409544</v>
      </c>
    </row>
    <row r="974" spans="1:13" s="12" customFormat="1" ht="21.6" customHeight="1" x14ac:dyDescent="0.2">
      <c r="A974" s="85"/>
      <c r="B974" s="33" t="s">
        <v>418</v>
      </c>
      <c r="C974" s="42">
        <v>926</v>
      </c>
      <c r="D974" s="26" t="s">
        <v>8</v>
      </c>
      <c r="E974" s="26" t="s">
        <v>5</v>
      </c>
      <c r="F974" s="13" t="s">
        <v>6</v>
      </c>
      <c r="G974" s="13" t="s">
        <v>189</v>
      </c>
      <c r="H974" s="13"/>
      <c r="I974" s="13"/>
      <c r="J974" s="26"/>
      <c r="K974" s="17">
        <f>SUM(K975+K978)</f>
        <v>293</v>
      </c>
      <c r="L974" s="17">
        <f>SUM(L975+L978)</f>
        <v>108</v>
      </c>
      <c r="M974" s="17">
        <f t="shared" si="111"/>
        <v>36.860068259385663</v>
      </c>
    </row>
    <row r="975" spans="1:13" s="12" customFormat="1" ht="51" customHeight="1" x14ac:dyDescent="0.2">
      <c r="A975" s="85"/>
      <c r="B975" s="33" t="s">
        <v>332</v>
      </c>
      <c r="C975" s="42">
        <v>926</v>
      </c>
      <c r="D975" s="26" t="s">
        <v>8</v>
      </c>
      <c r="E975" s="26" t="s">
        <v>5</v>
      </c>
      <c r="F975" s="13" t="s">
        <v>6</v>
      </c>
      <c r="G975" s="13" t="s">
        <v>189</v>
      </c>
      <c r="H975" s="13" t="s">
        <v>2</v>
      </c>
      <c r="I975" s="13"/>
      <c r="J975" s="26"/>
      <c r="K975" s="17">
        <f>SUM(K976)</f>
        <v>293</v>
      </c>
      <c r="L975" s="17">
        <f>SUM(L976)</f>
        <v>108</v>
      </c>
      <c r="M975" s="17">
        <f t="shared" si="111"/>
        <v>36.860068259385663</v>
      </c>
    </row>
    <row r="976" spans="1:13" s="12" customFormat="1" ht="52.9" customHeight="1" x14ac:dyDescent="0.2">
      <c r="A976" s="85"/>
      <c r="B976" s="33" t="s">
        <v>419</v>
      </c>
      <c r="C976" s="42">
        <v>926</v>
      </c>
      <c r="D976" s="26" t="s">
        <v>8</v>
      </c>
      <c r="E976" s="26" t="s">
        <v>5</v>
      </c>
      <c r="F976" s="13" t="s">
        <v>6</v>
      </c>
      <c r="G976" s="13" t="s">
        <v>189</v>
      </c>
      <c r="H976" s="13" t="s">
        <v>2</v>
      </c>
      <c r="I976" s="13" t="s">
        <v>333</v>
      </c>
      <c r="J976" s="26"/>
      <c r="K976" s="17">
        <f>SUM(K977)</f>
        <v>293</v>
      </c>
      <c r="L976" s="17">
        <f>SUM(L977)</f>
        <v>108</v>
      </c>
      <c r="M976" s="17">
        <f t="shared" si="111"/>
        <v>36.860068259385663</v>
      </c>
    </row>
    <row r="977" spans="1:13" s="12" customFormat="1" ht="34.15" customHeight="1" x14ac:dyDescent="0.2">
      <c r="A977" s="85"/>
      <c r="B977" s="53" t="s">
        <v>76</v>
      </c>
      <c r="C977" s="42">
        <v>926</v>
      </c>
      <c r="D977" s="26" t="s">
        <v>8</v>
      </c>
      <c r="E977" s="26" t="s">
        <v>5</v>
      </c>
      <c r="F977" s="13" t="s">
        <v>6</v>
      </c>
      <c r="G977" s="13" t="s">
        <v>189</v>
      </c>
      <c r="H977" s="13" t="s">
        <v>2</v>
      </c>
      <c r="I977" s="13" t="s">
        <v>333</v>
      </c>
      <c r="J977" s="26" t="s">
        <v>77</v>
      </c>
      <c r="K977" s="17">
        <f>90+131+72</f>
        <v>293</v>
      </c>
      <c r="L977" s="17">
        <v>108</v>
      </c>
      <c r="M977" s="17">
        <f t="shared" si="111"/>
        <v>36.860068259385663</v>
      </c>
    </row>
    <row r="978" spans="1:13" s="12" customFormat="1" ht="16.5" customHeight="1" x14ac:dyDescent="0.2">
      <c r="A978" s="85"/>
      <c r="B978" s="50" t="s">
        <v>451</v>
      </c>
      <c r="C978" s="42">
        <v>926</v>
      </c>
      <c r="D978" s="26" t="s">
        <v>8</v>
      </c>
      <c r="E978" s="26" t="s">
        <v>5</v>
      </c>
      <c r="F978" s="13" t="s">
        <v>6</v>
      </c>
      <c r="G978" s="13" t="s">
        <v>189</v>
      </c>
      <c r="H978" s="13" t="s">
        <v>452</v>
      </c>
      <c r="I978" s="13"/>
      <c r="J978" s="26"/>
      <c r="K978" s="17">
        <f>K979</f>
        <v>0</v>
      </c>
      <c r="L978" s="17">
        <f>L979</f>
        <v>0</v>
      </c>
      <c r="M978" s="17"/>
    </row>
    <row r="979" spans="1:13" s="12" customFormat="1" ht="19.899999999999999" customHeight="1" x14ac:dyDescent="0.2">
      <c r="A979" s="85"/>
      <c r="B979" s="50" t="s">
        <v>453</v>
      </c>
      <c r="C979" s="42">
        <v>926</v>
      </c>
      <c r="D979" s="26" t="s">
        <v>8</v>
      </c>
      <c r="E979" s="26" t="s">
        <v>5</v>
      </c>
      <c r="F979" s="13" t="s">
        <v>6</v>
      </c>
      <c r="G979" s="13" t="s">
        <v>189</v>
      </c>
      <c r="H979" s="13" t="s">
        <v>452</v>
      </c>
      <c r="I979" s="13" t="s">
        <v>454</v>
      </c>
      <c r="J979" s="26"/>
      <c r="K979" s="17">
        <f>K980</f>
        <v>0</v>
      </c>
      <c r="L979" s="17">
        <f>L980</f>
        <v>0</v>
      </c>
      <c r="M979" s="17"/>
    </row>
    <row r="980" spans="1:13" s="12" customFormat="1" ht="33.6" customHeight="1" x14ac:dyDescent="0.2">
      <c r="A980" s="85"/>
      <c r="B980" s="33" t="s">
        <v>353</v>
      </c>
      <c r="C980" s="42">
        <v>926</v>
      </c>
      <c r="D980" s="26" t="s">
        <v>8</v>
      </c>
      <c r="E980" s="26" t="s">
        <v>5</v>
      </c>
      <c r="F980" s="13" t="s">
        <v>6</v>
      </c>
      <c r="G980" s="13" t="s">
        <v>189</v>
      </c>
      <c r="H980" s="13" t="s">
        <v>452</v>
      </c>
      <c r="I980" s="13" t="s">
        <v>454</v>
      </c>
      <c r="J980" s="26" t="s">
        <v>77</v>
      </c>
      <c r="K980" s="17">
        <v>0</v>
      </c>
      <c r="L980" s="17">
        <v>0</v>
      </c>
      <c r="M980" s="17"/>
    </row>
    <row r="981" spans="1:13" s="12" customFormat="1" ht="49.9" customHeight="1" x14ac:dyDescent="0.2">
      <c r="A981" s="85"/>
      <c r="B981" s="50" t="s">
        <v>216</v>
      </c>
      <c r="C981" s="42">
        <v>926</v>
      </c>
      <c r="D981" s="26" t="s">
        <v>8</v>
      </c>
      <c r="E981" s="26" t="s">
        <v>5</v>
      </c>
      <c r="F981" s="13" t="s">
        <v>41</v>
      </c>
      <c r="G981" s="13"/>
      <c r="H981" s="13"/>
      <c r="I981" s="13"/>
      <c r="J981" s="26"/>
      <c r="K981" s="17">
        <f t="shared" ref="K981:L984" si="118">SUM(K982)</f>
        <v>5311.5</v>
      </c>
      <c r="L981" s="17">
        <f t="shared" si="118"/>
        <v>3986.8</v>
      </c>
      <c r="M981" s="17">
        <f t="shared" ref="M981:M1043" si="119">L981/K981*100</f>
        <v>75.059775957827355</v>
      </c>
    </row>
    <row r="982" spans="1:13" s="12" customFormat="1" ht="47.25" x14ac:dyDescent="0.2">
      <c r="A982" s="85"/>
      <c r="B982" s="50" t="s">
        <v>217</v>
      </c>
      <c r="C982" s="42">
        <v>926</v>
      </c>
      <c r="D982" s="26" t="s">
        <v>8</v>
      </c>
      <c r="E982" s="26" t="s">
        <v>5</v>
      </c>
      <c r="F982" s="13" t="s">
        <v>41</v>
      </c>
      <c r="G982" s="13" t="s">
        <v>204</v>
      </c>
      <c r="H982" s="13"/>
      <c r="I982" s="13"/>
      <c r="J982" s="26"/>
      <c r="K982" s="17">
        <f t="shared" si="118"/>
        <v>5311.5</v>
      </c>
      <c r="L982" s="17">
        <f t="shared" si="118"/>
        <v>3986.8</v>
      </c>
      <c r="M982" s="17">
        <f t="shared" si="119"/>
        <v>75.059775957827355</v>
      </c>
    </row>
    <row r="983" spans="1:13" s="12" customFormat="1" ht="49.15" customHeight="1" x14ac:dyDescent="0.2">
      <c r="A983" s="85"/>
      <c r="B983" s="50" t="s">
        <v>203</v>
      </c>
      <c r="C983" s="42">
        <v>926</v>
      </c>
      <c r="D983" s="26" t="s">
        <v>8</v>
      </c>
      <c r="E983" s="26" t="s">
        <v>5</v>
      </c>
      <c r="F983" s="13" t="s">
        <v>41</v>
      </c>
      <c r="G983" s="13" t="s">
        <v>204</v>
      </c>
      <c r="H983" s="13" t="s">
        <v>2</v>
      </c>
      <c r="I983" s="13"/>
      <c r="J983" s="26"/>
      <c r="K983" s="17">
        <f t="shared" si="118"/>
        <v>5311.5</v>
      </c>
      <c r="L983" s="17">
        <f t="shared" si="118"/>
        <v>3986.8</v>
      </c>
      <c r="M983" s="17">
        <f t="shared" si="119"/>
        <v>75.059775957827355</v>
      </c>
    </row>
    <row r="984" spans="1:13" s="12" customFormat="1" ht="78" customHeight="1" x14ac:dyDescent="0.2">
      <c r="A984" s="85"/>
      <c r="B984" s="50" t="s">
        <v>285</v>
      </c>
      <c r="C984" s="42">
        <v>926</v>
      </c>
      <c r="D984" s="26" t="s">
        <v>8</v>
      </c>
      <c r="E984" s="26" t="s">
        <v>5</v>
      </c>
      <c r="F984" s="13" t="s">
        <v>41</v>
      </c>
      <c r="G984" s="13" t="s">
        <v>204</v>
      </c>
      <c r="H984" s="13" t="s">
        <v>2</v>
      </c>
      <c r="I984" s="13" t="s">
        <v>226</v>
      </c>
      <c r="J984" s="26"/>
      <c r="K984" s="17">
        <f t="shared" si="118"/>
        <v>5311.5</v>
      </c>
      <c r="L984" s="17">
        <f t="shared" si="118"/>
        <v>3986.8</v>
      </c>
      <c r="M984" s="17">
        <f t="shared" si="119"/>
        <v>75.059775957827355</v>
      </c>
    </row>
    <row r="985" spans="1:13" s="12" customFormat="1" ht="31.5" x14ac:dyDescent="0.2">
      <c r="A985" s="85"/>
      <c r="B985" s="33" t="s">
        <v>76</v>
      </c>
      <c r="C985" s="42">
        <v>926</v>
      </c>
      <c r="D985" s="26" t="s">
        <v>8</v>
      </c>
      <c r="E985" s="26" t="s">
        <v>5</v>
      </c>
      <c r="F985" s="13" t="s">
        <v>41</v>
      </c>
      <c r="G985" s="13" t="s">
        <v>204</v>
      </c>
      <c r="H985" s="13" t="s">
        <v>2</v>
      </c>
      <c r="I985" s="13" t="s">
        <v>226</v>
      </c>
      <c r="J985" s="26" t="s">
        <v>77</v>
      </c>
      <c r="K985" s="17">
        <f>2533.8+2533.8+179.2-0.1+23.6+41.2</f>
        <v>5311.5</v>
      </c>
      <c r="L985" s="17">
        <v>3986.8</v>
      </c>
      <c r="M985" s="17">
        <f t="shared" si="119"/>
        <v>75.059775957827355</v>
      </c>
    </row>
    <row r="986" spans="1:13" s="12" customFormat="1" ht="33.6" customHeight="1" x14ac:dyDescent="0.2">
      <c r="A986" s="85"/>
      <c r="B986" s="33" t="s">
        <v>420</v>
      </c>
      <c r="C986" s="42">
        <v>926</v>
      </c>
      <c r="D986" s="26" t="s">
        <v>8</v>
      </c>
      <c r="E986" s="26" t="s">
        <v>5</v>
      </c>
      <c r="F986" s="13" t="s">
        <v>334</v>
      </c>
      <c r="G986" s="13"/>
      <c r="H986" s="13"/>
      <c r="I986" s="13"/>
      <c r="J986" s="26"/>
      <c r="K986" s="17">
        <f t="shared" ref="K986:L989" si="120">SUM(K987)</f>
        <v>0</v>
      </c>
      <c r="L986" s="17">
        <f t="shared" si="120"/>
        <v>0</v>
      </c>
      <c r="M986" s="17"/>
    </row>
    <row r="987" spans="1:13" s="12" customFormat="1" ht="46.9" customHeight="1" x14ac:dyDescent="0.2">
      <c r="A987" s="85"/>
      <c r="B987" s="33" t="s">
        <v>421</v>
      </c>
      <c r="C987" s="42">
        <v>926</v>
      </c>
      <c r="D987" s="26" t="s">
        <v>8</v>
      </c>
      <c r="E987" s="26" t="s">
        <v>5</v>
      </c>
      <c r="F987" s="13" t="s">
        <v>334</v>
      </c>
      <c r="G987" s="13" t="s">
        <v>126</v>
      </c>
      <c r="H987" s="13"/>
      <c r="I987" s="13"/>
      <c r="J987" s="26"/>
      <c r="K987" s="17">
        <f t="shared" si="120"/>
        <v>0</v>
      </c>
      <c r="L987" s="17">
        <f t="shared" si="120"/>
        <v>0</v>
      </c>
      <c r="M987" s="17"/>
    </row>
    <row r="988" spans="1:13" s="12" customFormat="1" ht="48.6" customHeight="1" x14ac:dyDescent="0.2">
      <c r="A988" s="85"/>
      <c r="B988" s="33" t="s">
        <v>335</v>
      </c>
      <c r="C988" s="42">
        <v>926</v>
      </c>
      <c r="D988" s="26" t="s">
        <v>8</v>
      </c>
      <c r="E988" s="26" t="s">
        <v>5</v>
      </c>
      <c r="F988" s="13" t="s">
        <v>334</v>
      </c>
      <c r="G988" s="13" t="s">
        <v>126</v>
      </c>
      <c r="H988" s="13" t="s">
        <v>2</v>
      </c>
      <c r="I988" s="13"/>
      <c r="J988" s="26"/>
      <c r="K988" s="17">
        <f t="shared" si="120"/>
        <v>0</v>
      </c>
      <c r="L988" s="17">
        <f t="shared" si="120"/>
        <v>0</v>
      </c>
      <c r="M988" s="17"/>
    </row>
    <row r="989" spans="1:13" s="12" customFormat="1" ht="112.9" customHeight="1" x14ac:dyDescent="0.2">
      <c r="A989" s="85"/>
      <c r="B989" s="33" t="s">
        <v>449</v>
      </c>
      <c r="C989" s="42">
        <v>926</v>
      </c>
      <c r="D989" s="26" t="s">
        <v>8</v>
      </c>
      <c r="E989" s="26" t="s">
        <v>5</v>
      </c>
      <c r="F989" s="13" t="s">
        <v>334</v>
      </c>
      <c r="G989" s="13" t="s">
        <v>126</v>
      </c>
      <c r="H989" s="13" t="s">
        <v>2</v>
      </c>
      <c r="I989" s="13" t="s">
        <v>450</v>
      </c>
      <c r="J989" s="26"/>
      <c r="K989" s="17">
        <f t="shared" si="120"/>
        <v>0</v>
      </c>
      <c r="L989" s="17">
        <f t="shared" si="120"/>
        <v>0</v>
      </c>
      <c r="M989" s="17"/>
    </row>
    <row r="990" spans="1:13" s="12" customFormat="1" ht="33.6" customHeight="1" x14ac:dyDescent="0.2">
      <c r="A990" s="85"/>
      <c r="B990" s="33" t="s">
        <v>76</v>
      </c>
      <c r="C990" s="42">
        <v>926</v>
      </c>
      <c r="D990" s="26" t="s">
        <v>8</v>
      </c>
      <c r="E990" s="26" t="s">
        <v>5</v>
      </c>
      <c r="F990" s="13" t="s">
        <v>334</v>
      </c>
      <c r="G990" s="13" t="s">
        <v>126</v>
      </c>
      <c r="H990" s="13" t="s">
        <v>2</v>
      </c>
      <c r="I990" s="13" t="s">
        <v>450</v>
      </c>
      <c r="J990" s="26" t="s">
        <v>77</v>
      </c>
      <c r="K990" s="17">
        <v>0</v>
      </c>
      <c r="L990" s="17">
        <v>0</v>
      </c>
      <c r="M990" s="17"/>
    </row>
    <row r="991" spans="1:13" s="12" customFormat="1" ht="30" customHeight="1" x14ac:dyDescent="0.2">
      <c r="A991" s="85"/>
      <c r="B991" s="33" t="s">
        <v>457</v>
      </c>
      <c r="C991" s="42">
        <v>926</v>
      </c>
      <c r="D991" s="26" t="s">
        <v>8</v>
      </c>
      <c r="E991" s="13" t="s">
        <v>7</v>
      </c>
      <c r="F991" s="13"/>
      <c r="G991" s="13"/>
      <c r="H991" s="13"/>
      <c r="I991" s="13"/>
      <c r="J991" s="26"/>
      <c r="K991" s="17">
        <f t="shared" ref="K991:L994" si="121">SUM(K992)</f>
        <v>17.2</v>
      </c>
      <c r="L991" s="17">
        <f t="shared" si="121"/>
        <v>0</v>
      </c>
      <c r="M991" s="17">
        <f t="shared" si="119"/>
        <v>0</v>
      </c>
    </row>
    <row r="992" spans="1:13" s="12" customFormat="1" ht="32.450000000000003" customHeight="1" x14ac:dyDescent="0.2">
      <c r="A992" s="85"/>
      <c r="B992" s="50" t="s">
        <v>288</v>
      </c>
      <c r="C992" s="42">
        <v>926</v>
      </c>
      <c r="D992" s="13" t="s">
        <v>8</v>
      </c>
      <c r="E992" s="13" t="s">
        <v>7</v>
      </c>
      <c r="F992" s="13" t="s">
        <v>6</v>
      </c>
      <c r="G992" s="13"/>
      <c r="H992" s="13"/>
      <c r="I992" s="13"/>
      <c r="J992" s="26"/>
      <c r="K992" s="17">
        <f t="shared" si="121"/>
        <v>17.2</v>
      </c>
      <c r="L992" s="17">
        <f t="shared" si="121"/>
        <v>0</v>
      </c>
      <c r="M992" s="17">
        <f t="shared" si="119"/>
        <v>0</v>
      </c>
    </row>
    <row r="993" spans="1:13" s="12" customFormat="1" ht="32.450000000000003" customHeight="1" x14ac:dyDescent="0.2">
      <c r="A993" s="85"/>
      <c r="B993" s="50" t="s">
        <v>289</v>
      </c>
      <c r="C993" s="42">
        <v>926</v>
      </c>
      <c r="D993" s="13" t="s">
        <v>8</v>
      </c>
      <c r="E993" s="13" t="s">
        <v>7</v>
      </c>
      <c r="F993" s="13" t="s">
        <v>6</v>
      </c>
      <c r="G993" s="13" t="s">
        <v>126</v>
      </c>
      <c r="H993" s="13"/>
      <c r="I993" s="13"/>
      <c r="J993" s="26"/>
      <c r="K993" s="17">
        <f t="shared" si="121"/>
        <v>17.2</v>
      </c>
      <c r="L993" s="17">
        <f t="shared" si="121"/>
        <v>0</v>
      </c>
      <c r="M993" s="17">
        <f t="shared" si="119"/>
        <v>0</v>
      </c>
    </row>
    <row r="994" spans="1:13" s="12" customFormat="1" ht="47.45" customHeight="1" x14ac:dyDescent="0.2">
      <c r="A994" s="85"/>
      <c r="B994" s="50" t="s">
        <v>165</v>
      </c>
      <c r="C994" s="42">
        <v>926</v>
      </c>
      <c r="D994" s="13" t="s">
        <v>8</v>
      </c>
      <c r="E994" s="13" t="s">
        <v>7</v>
      </c>
      <c r="F994" s="13" t="s">
        <v>6</v>
      </c>
      <c r="G994" s="13" t="s">
        <v>126</v>
      </c>
      <c r="H994" s="13" t="s">
        <v>2</v>
      </c>
      <c r="I994" s="13"/>
      <c r="J994" s="26"/>
      <c r="K994" s="17">
        <f t="shared" si="121"/>
        <v>17.2</v>
      </c>
      <c r="L994" s="17">
        <f t="shared" si="121"/>
        <v>0</v>
      </c>
      <c r="M994" s="17">
        <f t="shared" si="119"/>
        <v>0</v>
      </c>
    </row>
    <row r="995" spans="1:13" s="12" customFormat="1" ht="28.9" customHeight="1" x14ac:dyDescent="0.2">
      <c r="A995" s="85"/>
      <c r="B995" s="33" t="s">
        <v>459</v>
      </c>
      <c r="C995" s="42">
        <v>926</v>
      </c>
      <c r="D995" s="13" t="s">
        <v>8</v>
      </c>
      <c r="E995" s="13" t="s">
        <v>7</v>
      </c>
      <c r="F995" s="13" t="s">
        <v>6</v>
      </c>
      <c r="G995" s="13" t="s">
        <v>126</v>
      </c>
      <c r="H995" s="13" t="s">
        <v>2</v>
      </c>
      <c r="I995" s="13" t="s">
        <v>458</v>
      </c>
      <c r="J995" s="26"/>
      <c r="K995" s="17">
        <f>SUM(K996)</f>
        <v>17.2</v>
      </c>
      <c r="L995" s="17">
        <f>SUM(L996)</f>
        <v>0</v>
      </c>
      <c r="M995" s="17">
        <f t="shared" si="119"/>
        <v>0</v>
      </c>
    </row>
    <row r="996" spans="1:13" s="12" customFormat="1" ht="35.25" customHeight="1" x14ac:dyDescent="0.2">
      <c r="A996" s="85"/>
      <c r="B996" s="33" t="s">
        <v>175</v>
      </c>
      <c r="C996" s="42">
        <v>926</v>
      </c>
      <c r="D996" s="13" t="s">
        <v>8</v>
      </c>
      <c r="E996" s="13" t="s">
        <v>7</v>
      </c>
      <c r="F996" s="13" t="s">
        <v>6</v>
      </c>
      <c r="G996" s="13" t="s">
        <v>126</v>
      </c>
      <c r="H996" s="13" t="s">
        <v>2</v>
      </c>
      <c r="I996" s="13" t="s">
        <v>458</v>
      </c>
      <c r="J996" s="26" t="s">
        <v>58</v>
      </c>
      <c r="K996" s="17">
        <v>17.2</v>
      </c>
      <c r="L996" s="17">
        <v>0</v>
      </c>
      <c r="M996" s="17">
        <f t="shared" si="119"/>
        <v>0</v>
      </c>
    </row>
    <row r="997" spans="1:13" s="12" customFormat="1" ht="20.45" customHeight="1" x14ac:dyDescent="0.2">
      <c r="A997" s="85"/>
      <c r="B997" s="33" t="s">
        <v>85</v>
      </c>
      <c r="C997" s="42">
        <v>926</v>
      </c>
      <c r="D997" s="13" t="s">
        <v>17</v>
      </c>
      <c r="E997" s="26"/>
      <c r="F997" s="26"/>
      <c r="G997" s="42"/>
      <c r="H997" s="26"/>
      <c r="I997" s="26"/>
      <c r="J997" s="26"/>
      <c r="K997" s="17">
        <f>SUM(K1012+K998)</f>
        <v>18787.699999999997</v>
      </c>
      <c r="L997" s="17">
        <f>SUM(L1012+L998)</f>
        <v>11912.2</v>
      </c>
      <c r="M997" s="17">
        <f t="shared" si="119"/>
        <v>63.404248524300485</v>
      </c>
    </row>
    <row r="998" spans="1:13" s="12" customFormat="1" ht="19.899999999999999" customHeight="1" x14ac:dyDescent="0.2">
      <c r="A998" s="85"/>
      <c r="B998" s="33" t="s">
        <v>330</v>
      </c>
      <c r="C998" s="42">
        <v>926</v>
      </c>
      <c r="D998" s="26" t="s">
        <v>17</v>
      </c>
      <c r="E998" s="26" t="s">
        <v>2</v>
      </c>
      <c r="F998" s="26"/>
      <c r="G998" s="42"/>
      <c r="H998" s="26"/>
      <c r="I998" s="26"/>
      <c r="J998" s="26"/>
      <c r="K998" s="17">
        <f>SUM(K999)</f>
        <v>2541.7999999999997</v>
      </c>
      <c r="L998" s="17">
        <f>SUM(L999)</f>
        <v>1643.2</v>
      </c>
      <c r="M998" s="17">
        <f t="shared" si="119"/>
        <v>64.647100479974824</v>
      </c>
    </row>
    <row r="999" spans="1:13" s="12" customFormat="1" ht="31.15" customHeight="1" x14ac:dyDescent="0.2">
      <c r="A999" s="85"/>
      <c r="B999" s="50" t="s">
        <v>288</v>
      </c>
      <c r="C999" s="42">
        <v>926</v>
      </c>
      <c r="D999" s="26" t="s">
        <v>17</v>
      </c>
      <c r="E999" s="26" t="s">
        <v>2</v>
      </c>
      <c r="F999" s="26" t="s">
        <v>6</v>
      </c>
      <c r="G999" s="42"/>
      <c r="H999" s="26"/>
      <c r="I999" s="26"/>
      <c r="J999" s="26"/>
      <c r="K999" s="17">
        <f>SUM(K1000+K1005)</f>
        <v>2541.7999999999997</v>
      </c>
      <c r="L999" s="17">
        <f>SUM(L1000+L1005)</f>
        <v>1643.2</v>
      </c>
      <c r="M999" s="17">
        <f t="shared" si="119"/>
        <v>64.647100479974824</v>
      </c>
    </row>
    <row r="1000" spans="1:13" s="12" customFormat="1" ht="35.450000000000003" customHeight="1" x14ac:dyDescent="0.2">
      <c r="A1000" s="85"/>
      <c r="B1000" s="54" t="s">
        <v>313</v>
      </c>
      <c r="C1000" s="42">
        <v>926</v>
      </c>
      <c r="D1000" s="26" t="s">
        <v>17</v>
      </c>
      <c r="E1000" s="26" t="s">
        <v>2</v>
      </c>
      <c r="F1000" s="13" t="s">
        <v>6</v>
      </c>
      <c r="G1000" s="13" t="s">
        <v>166</v>
      </c>
      <c r="H1000" s="13"/>
      <c r="I1000" s="13"/>
      <c r="J1000" s="26"/>
      <c r="K1000" s="17">
        <f>SUM(K1001)</f>
        <v>0</v>
      </c>
      <c r="L1000" s="17">
        <f>SUM(L1001)</f>
        <v>0</v>
      </c>
      <c r="M1000" s="17"/>
    </row>
    <row r="1001" spans="1:13" s="12" customFormat="1" ht="66" customHeight="1" x14ac:dyDescent="0.2">
      <c r="A1001" s="85"/>
      <c r="B1001" s="54" t="s">
        <v>291</v>
      </c>
      <c r="C1001" s="42">
        <v>926</v>
      </c>
      <c r="D1001" s="26" t="s">
        <v>17</v>
      </c>
      <c r="E1001" s="26" t="s">
        <v>2</v>
      </c>
      <c r="F1001" s="13" t="s">
        <v>6</v>
      </c>
      <c r="G1001" s="13" t="s">
        <v>166</v>
      </c>
      <c r="H1001" s="13" t="s">
        <v>2</v>
      </c>
      <c r="I1001" s="13"/>
      <c r="J1001" s="26"/>
      <c r="K1001" s="17">
        <f>SUM(K1002)</f>
        <v>0</v>
      </c>
      <c r="L1001" s="17">
        <f>SUM(L1002)</f>
        <v>0</v>
      </c>
      <c r="M1001" s="17"/>
    </row>
    <row r="1002" spans="1:13" s="12" customFormat="1" ht="49.9" customHeight="1" x14ac:dyDescent="0.2">
      <c r="A1002" s="85"/>
      <c r="B1002" s="54" t="s">
        <v>422</v>
      </c>
      <c r="C1002" s="42">
        <v>926</v>
      </c>
      <c r="D1002" s="26" t="s">
        <v>17</v>
      </c>
      <c r="E1002" s="26" t="s">
        <v>2</v>
      </c>
      <c r="F1002" s="13" t="s">
        <v>6</v>
      </c>
      <c r="G1002" s="13" t="s">
        <v>166</v>
      </c>
      <c r="H1002" s="13" t="s">
        <v>2</v>
      </c>
      <c r="I1002" s="13" t="s">
        <v>331</v>
      </c>
      <c r="J1002" s="26"/>
      <c r="K1002" s="17">
        <f>SUM(K1003+K1004)</f>
        <v>0</v>
      </c>
      <c r="L1002" s="17">
        <f>SUM(L1003+L1004)</f>
        <v>0</v>
      </c>
      <c r="M1002" s="17"/>
    </row>
    <row r="1003" spans="1:13" s="12" customFormat="1" ht="33" customHeight="1" x14ac:dyDescent="0.2">
      <c r="A1003" s="85"/>
      <c r="B1003" s="33" t="s">
        <v>175</v>
      </c>
      <c r="C1003" s="42">
        <v>926</v>
      </c>
      <c r="D1003" s="26" t="s">
        <v>17</v>
      </c>
      <c r="E1003" s="26" t="s">
        <v>2</v>
      </c>
      <c r="F1003" s="13" t="s">
        <v>6</v>
      </c>
      <c r="G1003" s="13" t="s">
        <v>166</v>
      </c>
      <c r="H1003" s="13" t="s">
        <v>2</v>
      </c>
      <c r="I1003" s="13" t="s">
        <v>331</v>
      </c>
      <c r="J1003" s="26" t="s">
        <v>58</v>
      </c>
      <c r="K1003" s="17">
        <v>0</v>
      </c>
      <c r="L1003" s="17">
        <v>0</v>
      </c>
      <c r="M1003" s="17"/>
    </row>
    <row r="1004" spans="1:13" s="12" customFormat="1" ht="21.6" customHeight="1" x14ac:dyDescent="0.2">
      <c r="A1004" s="85"/>
      <c r="B1004" s="33" t="s">
        <v>69</v>
      </c>
      <c r="C1004" s="42">
        <v>926</v>
      </c>
      <c r="D1004" s="26" t="s">
        <v>17</v>
      </c>
      <c r="E1004" s="26" t="s">
        <v>2</v>
      </c>
      <c r="F1004" s="13" t="s">
        <v>6</v>
      </c>
      <c r="G1004" s="13" t="s">
        <v>166</v>
      </c>
      <c r="H1004" s="13" t="s">
        <v>2</v>
      </c>
      <c r="I1004" s="13" t="s">
        <v>331</v>
      </c>
      <c r="J1004" s="26" t="s">
        <v>70</v>
      </c>
      <c r="K1004" s="17">
        <v>0</v>
      </c>
      <c r="L1004" s="17">
        <v>0</v>
      </c>
      <c r="M1004" s="17"/>
    </row>
    <row r="1005" spans="1:13" s="12" customFormat="1" ht="21" customHeight="1" x14ac:dyDescent="0.2">
      <c r="A1005" s="85"/>
      <c r="B1005" s="33" t="s">
        <v>418</v>
      </c>
      <c r="C1005" s="42">
        <v>926</v>
      </c>
      <c r="D1005" s="26" t="s">
        <v>17</v>
      </c>
      <c r="E1005" s="26" t="s">
        <v>2</v>
      </c>
      <c r="F1005" s="13" t="s">
        <v>6</v>
      </c>
      <c r="G1005" s="13" t="s">
        <v>189</v>
      </c>
      <c r="H1005" s="13"/>
      <c r="I1005" s="13"/>
      <c r="J1005" s="26"/>
      <c r="K1005" s="17">
        <f>SUM(K1006)</f>
        <v>2541.7999999999997</v>
      </c>
      <c r="L1005" s="17">
        <f>SUM(L1006)</f>
        <v>1643.2</v>
      </c>
      <c r="M1005" s="17">
        <f t="shared" si="119"/>
        <v>64.647100479974824</v>
      </c>
    </row>
    <row r="1006" spans="1:13" s="12" customFormat="1" ht="48.6" customHeight="1" x14ac:dyDescent="0.2">
      <c r="A1006" s="85"/>
      <c r="B1006" s="33" t="s">
        <v>332</v>
      </c>
      <c r="C1006" s="42">
        <v>926</v>
      </c>
      <c r="D1006" s="26" t="s">
        <v>17</v>
      </c>
      <c r="E1006" s="26" t="s">
        <v>2</v>
      </c>
      <c r="F1006" s="13" t="s">
        <v>6</v>
      </c>
      <c r="G1006" s="13" t="s">
        <v>189</v>
      </c>
      <c r="H1006" s="13" t="s">
        <v>2</v>
      </c>
      <c r="I1006" s="13"/>
      <c r="J1006" s="26"/>
      <c r="K1006" s="17">
        <f>SUM(K1007)</f>
        <v>2541.7999999999997</v>
      </c>
      <c r="L1006" s="17">
        <f>SUM(L1007)</f>
        <v>1643.2</v>
      </c>
      <c r="M1006" s="17">
        <f t="shared" si="119"/>
        <v>64.647100479974824</v>
      </c>
    </row>
    <row r="1007" spans="1:13" s="12" customFormat="1" ht="51" customHeight="1" x14ac:dyDescent="0.2">
      <c r="A1007" s="85"/>
      <c r="B1007" s="33" t="s">
        <v>419</v>
      </c>
      <c r="C1007" s="42">
        <v>926</v>
      </c>
      <c r="D1007" s="26" t="s">
        <v>17</v>
      </c>
      <c r="E1007" s="26" t="s">
        <v>2</v>
      </c>
      <c r="F1007" s="13" t="s">
        <v>6</v>
      </c>
      <c r="G1007" s="13" t="s">
        <v>189</v>
      </c>
      <c r="H1007" s="13" t="s">
        <v>2</v>
      </c>
      <c r="I1007" s="13" t="s">
        <v>333</v>
      </c>
      <c r="J1007" s="26"/>
      <c r="K1007" s="17">
        <f>SUM(K1009+K1008+K1011+K1010)</f>
        <v>2541.7999999999997</v>
      </c>
      <c r="L1007" s="17">
        <f>SUM(L1009+L1008+L1011+L1010)</f>
        <v>1643.2</v>
      </c>
      <c r="M1007" s="17">
        <f t="shared" si="119"/>
        <v>64.647100479974824</v>
      </c>
    </row>
    <row r="1008" spans="1:13" s="12" customFormat="1" ht="49.9" customHeight="1" x14ac:dyDescent="0.2">
      <c r="A1008" s="85"/>
      <c r="B1008" s="33" t="s">
        <v>55</v>
      </c>
      <c r="C1008" s="42">
        <v>926</v>
      </c>
      <c r="D1008" s="26" t="s">
        <v>17</v>
      </c>
      <c r="E1008" s="26" t="s">
        <v>2</v>
      </c>
      <c r="F1008" s="13" t="s">
        <v>6</v>
      </c>
      <c r="G1008" s="13" t="s">
        <v>189</v>
      </c>
      <c r="H1008" s="13" t="s">
        <v>2</v>
      </c>
      <c r="I1008" s="13" t="s">
        <v>333</v>
      </c>
      <c r="J1008" s="26" t="s">
        <v>56</v>
      </c>
      <c r="K1008" s="17">
        <v>0</v>
      </c>
      <c r="L1008" s="17">
        <v>0</v>
      </c>
      <c r="M1008" s="17"/>
    </row>
    <row r="1009" spans="1:13" s="12" customFormat="1" ht="31.5" x14ac:dyDescent="0.2">
      <c r="A1009" s="85"/>
      <c r="B1009" s="33" t="s">
        <v>175</v>
      </c>
      <c r="C1009" s="42">
        <v>926</v>
      </c>
      <c r="D1009" s="26" t="s">
        <v>17</v>
      </c>
      <c r="E1009" s="26" t="s">
        <v>2</v>
      </c>
      <c r="F1009" s="13" t="s">
        <v>6</v>
      </c>
      <c r="G1009" s="13" t="s">
        <v>189</v>
      </c>
      <c r="H1009" s="13" t="s">
        <v>2</v>
      </c>
      <c r="I1009" s="13" t="s">
        <v>333</v>
      </c>
      <c r="J1009" s="26" t="s">
        <v>58</v>
      </c>
      <c r="K1009" s="17">
        <f>467.9+100+422.7+584.2+20+52.8-90+260+422.8+0.1+209.1+2.2</f>
        <v>2451.7999999999997</v>
      </c>
      <c r="L1009" s="17">
        <v>1577.2</v>
      </c>
      <c r="M1009" s="17">
        <f t="shared" si="119"/>
        <v>64.328248633656912</v>
      </c>
    </row>
    <row r="1010" spans="1:13" s="12" customFormat="1" ht="19.899999999999999" customHeight="1" x14ac:dyDescent="0.2">
      <c r="A1010" s="85"/>
      <c r="B1010" s="33" t="s">
        <v>69</v>
      </c>
      <c r="C1010" s="42">
        <v>926</v>
      </c>
      <c r="D1010" s="26" t="s">
        <v>17</v>
      </c>
      <c r="E1010" s="26" t="s">
        <v>2</v>
      </c>
      <c r="F1010" s="13" t="s">
        <v>6</v>
      </c>
      <c r="G1010" s="13" t="s">
        <v>189</v>
      </c>
      <c r="H1010" s="13" t="s">
        <v>2</v>
      </c>
      <c r="I1010" s="13" t="s">
        <v>333</v>
      </c>
      <c r="J1010" s="26" t="s">
        <v>70</v>
      </c>
      <c r="K1010" s="17">
        <v>90</v>
      </c>
      <c r="L1010" s="17">
        <v>66</v>
      </c>
      <c r="M1010" s="17">
        <f t="shared" si="119"/>
        <v>73.333333333333329</v>
      </c>
    </row>
    <row r="1011" spans="1:13" s="12" customFormat="1" ht="31.5" x14ac:dyDescent="0.2">
      <c r="A1011" s="85"/>
      <c r="B1011" s="33" t="s">
        <v>76</v>
      </c>
      <c r="C1011" s="42">
        <v>926</v>
      </c>
      <c r="D1011" s="26" t="s">
        <v>17</v>
      </c>
      <c r="E1011" s="26" t="s">
        <v>2</v>
      </c>
      <c r="F1011" s="13" t="s">
        <v>6</v>
      </c>
      <c r="G1011" s="13" t="s">
        <v>189</v>
      </c>
      <c r="H1011" s="13" t="s">
        <v>2</v>
      </c>
      <c r="I1011" s="13" t="s">
        <v>333</v>
      </c>
      <c r="J1011" s="26" t="s">
        <v>77</v>
      </c>
      <c r="K1011" s="17">
        <f>131-131</f>
        <v>0</v>
      </c>
      <c r="L1011" s="17">
        <v>0</v>
      </c>
      <c r="M1011" s="17"/>
    </row>
    <row r="1012" spans="1:13" s="12" customFormat="1" x14ac:dyDescent="0.2">
      <c r="A1012" s="85"/>
      <c r="B1012" s="33" t="s">
        <v>50</v>
      </c>
      <c r="C1012" s="42">
        <v>926</v>
      </c>
      <c r="D1012" s="26" t="s">
        <v>17</v>
      </c>
      <c r="E1012" s="26" t="s">
        <v>6</v>
      </c>
      <c r="F1012" s="26"/>
      <c r="G1012" s="42"/>
      <c r="H1012" s="26"/>
      <c r="I1012" s="26"/>
      <c r="J1012" s="26"/>
      <c r="K1012" s="17">
        <f>SUM(+K1013+K1040)</f>
        <v>16245.899999999998</v>
      </c>
      <c r="L1012" s="17">
        <f>SUM(+L1013+L1040)</f>
        <v>10269</v>
      </c>
      <c r="M1012" s="17">
        <f t="shared" si="119"/>
        <v>63.209794471220434</v>
      </c>
    </row>
    <row r="1013" spans="1:13" s="12" customFormat="1" ht="32.450000000000003" customHeight="1" x14ac:dyDescent="0.2">
      <c r="A1013" s="85"/>
      <c r="B1013" s="50" t="s">
        <v>288</v>
      </c>
      <c r="C1013" s="42">
        <v>926</v>
      </c>
      <c r="D1013" s="26" t="s">
        <v>17</v>
      </c>
      <c r="E1013" s="26" t="s">
        <v>6</v>
      </c>
      <c r="F1013" s="26" t="s">
        <v>6</v>
      </c>
      <c r="G1013" s="42"/>
      <c r="H1013" s="26"/>
      <c r="I1013" s="26"/>
      <c r="J1013" s="26"/>
      <c r="K1013" s="17">
        <f>SUM(K1014+K1028+K1034)</f>
        <v>13853.499999999998</v>
      </c>
      <c r="L1013" s="17">
        <f>SUM(L1014+L1028+L1034)</f>
        <v>8520.4</v>
      </c>
      <c r="M1013" s="17">
        <f t="shared" si="119"/>
        <v>61.503591150250848</v>
      </c>
    </row>
    <row r="1014" spans="1:13" s="12" customFormat="1" ht="31.5" x14ac:dyDescent="0.2">
      <c r="A1014" s="85"/>
      <c r="B1014" s="50" t="s">
        <v>289</v>
      </c>
      <c r="C1014" s="42">
        <v>926</v>
      </c>
      <c r="D1014" s="26" t="s">
        <v>17</v>
      </c>
      <c r="E1014" s="26" t="s">
        <v>6</v>
      </c>
      <c r="F1014" s="26" t="s">
        <v>6</v>
      </c>
      <c r="G1014" s="42">
        <v>1</v>
      </c>
      <c r="H1014" s="26"/>
      <c r="I1014" s="26"/>
      <c r="J1014" s="26"/>
      <c r="K1014" s="17">
        <f>SUM(K1015+K1022)</f>
        <v>13702.599999999999</v>
      </c>
      <c r="L1014" s="17">
        <f>SUM(L1015+L1022)</f>
        <v>8370.6</v>
      </c>
      <c r="M1014" s="17">
        <f t="shared" si="119"/>
        <v>61.087676791265899</v>
      </c>
    </row>
    <row r="1015" spans="1:13" s="12" customFormat="1" ht="46.15" customHeight="1" x14ac:dyDescent="0.2">
      <c r="A1015" s="85"/>
      <c r="B1015" s="50" t="s">
        <v>165</v>
      </c>
      <c r="C1015" s="42">
        <v>926</v>
      </c>
      <c r="D1015" s="26" t="s">
        <v>17</v>
      </c>
      <c r="E1015" s="26" t="s">
        <v>6</v>
      </c>
      <c r="F1015" s="26" t="s">
        <v>6</v>
      </c>
      <c r="G1015" s="42">
        <v>1</v>
      </c>
      <c r="H1015" s="26" t="s">
        <v>2</v>
      </c>
      <c r="I1015" s="26"/>
      <c r="J1015" s="26"/>
      <c r="K1015" s="17">
        <f>SUM(K1016+K1020)</f>
        <v>3025.1</v>
      </c>
      <c r="L1015" s="17">
        <f>SUM(L1016+L1020)</f>
        <v>2055.8000000000002</v>
      </c>
      <c r="M1015" s="17">
        <f t="shared" si="119"/>
        <v>67.958084030279991</v>
      </c>
    </row>
    <row r="1016" spans="1:13" s="12" customFormat="1" ht="31.5" x14ac:dyDescent="0.2">
      <c r="A1016" s="85"/>
      <c r="B1016" s="50" t="s">
        <v>78</v>
      </c>
      <c r="C1016" s="42">
        <v>926</v>
      </c>
      <c r="D1016" s="26" t="s">
        <v>17</v>
      </c>
      <c r="E1016" s="26" t="s">
        <v>6</v>
      </c>
      <c r="F1016" s="26" t="s">
        <v>6</v>
      </c>
      <c r="G1016" s="42">
        <v>1</v>
      </c>
      <c r="H1016" s="26" t="s">
        <v>2</v>
      </c>
      <c r="I1016" s="26" t="s">
        <v>104</v>
      </c>
      <c r="J1016" s="26"/>
      <c r="K1016" s="17">
        <f t="shared" ref="K1016:L1016" si="122">SUM(K1017:K1019)</f>
        <v>3012.6</v>
      </c>
      <c r="L1016" s="17">
        <f t="shared" si="122"/>
        <v>2044</v>
      </c>
      <c r="M1016" s="17">
        <f t="shared" si="119"/>
        <v>67.848370178583281</v>
      </c>
    </row>
    <row r="1017" spans="1:13" s="12" customFormat="1" ht="48" customHeight="1" x14ac:dyDescent="0.2">
      <c r="A1017" s="85"/>
      <c r="B1017" s="33" t="s">
        <v>55</v>
      </c>
      <c r="C1017" s="42">
        <v>926</v>
      </c>
      <c r="D1017" s="26" t="s">
        <v>17</v>
      </c>
      <c r="E1017" s="26" t="s">
        <v>6</v>
      </c>
      <c r="F1017" s="26" t="s">
        <v>6</v>
      </c>
      <c r="G1017" s="42">
        <v>1</v>
      </c>
      <c r="H1017" s="26" t="s">
        <v>2</v>
      </c>
      <c r="I1017" s="26" t="s">
        <v>104</v>
      </c>
      <c r="J1017" s="26" t="s">
        <v>56</v>
      </c>
      <c r="K1017" s="17">
        <f>2906.2+28.7-0.1+18</f>
        <v>2952.7999999999997</v>
      </c>
      <c r="L1017" s="17">
        <v>2019.2</v>
      </c>
      <c r="M1017" s="17">
        <f t="shared" si="119"/>
        <v>68.382552153887843</v>
      </c>
    </row>
    <row r="1018" spans="1:13" s="12" customFormat="1" ht="31.5" x14ac:dyDescent="0.2">
      <c r="A1018" s="85"/>
      <c r="B1018" s="33" t="s">
        <v>175</v>
      </c>
      <c r="C1018" s="42">
        <v>926</v>
      </c>
      <c r="D1018" s="26" t="s">
        <v>17</v>
      </c>
      <c r="E1018" s="26" t="s">
        <v>6</v>
      </c>
      <c r="F1018" s="26" t="s">
        <v>6</v>
      </c>
      <c r="G1018" s="42">
        <v>1</v>
      </c>
      <c r="H1018" s="26" t="s">
        <v>2</v>
      </c>
      <c r="I1018" s="26" t="s">
        <v>104</v>
      </c>
      <c r="J1018" s="26" t="s">
        <v>58</v>
      </c>
      <c r="K1018" s="17">
        <f>2965.9-2906.2+0.1</f>
        <v>59.800000000000274</v>
      </c>
      <c r="L1018" s="17">
        <v>24.8</v>
      </c>
      <c r="M1018" s="17">
        <f t="shared" si="119"/>
        <v>41.471571906354328</v>
      </c>
    </row>
    <row r="1019" spans="1:13" s="12" customFormat="1" x14ac:dyDescent="0.2">
      <c r="A1019" s="85"/>
      <c r="B1019" s="33" t="s">
        <v>60</v>
      </c>
      <c r="C1019" s="42">
        <v>926</v>
      </c>
      <c r="D1019" s="26" t="s">
        <v>17</v>
      </c>
      <c r="E1019" s="26" t="s">
        <v>6</v>
      </c>
      <c r="F1019" s="26" t="s">
        <v>6</v>
      </c>
      <c r="G1019" s="42">
        <v>1</v>
      </c>
      <c r="H1019" s="26" t="s">
        <v>2</v>
      </c>
      <c r="I1019" s="26" t="s">
        <v>104</v>
      </c>
      <c r="J1019" s="26" t="s">
        <v>61</v>
      </c>
      <c r="K1019" s="17">
        <v>0</v>
      </c>
      <c r="L1019" s="17">
        <v>0</v>
      </c>
      <c r="M1019" s="17"/>
    </row>
    <row r="1020" spans="1:13" s="12" customFormat="1" ht="34.15" customHeight="1" x14ac:dyDescent="0.2">
      <c r="A1020" s="85"/>
      <c r="B1020" s="33" t="s">
        <v>456</v>
      </c>
      <c r="C1020" s="42">
        <v>926</v>
      </c>
      <c r="D1020" s="26" t="s">
        <v>17</v>
      </c>
      <c r="E1020" s="13" t="s">
        <v>6</v>
      </c>
      <c r="F1020" s="13" t="s">
        <v>6</v>
      </c>
      <c r="G1020" s="25">
        <v>1</v>
      </c>
      <c r="H1020" s="13" t="s">
        <v>2</v>
      </c>
      <c r="I1020" s="13" t="s">
        <v>455</v>
      </c>
      <c r="J1020" s="13"/>
      <c r="K1020" s="17">
        <f>SUM(K1021)</f>
        <v>12.5</v>
      </c>
      <c r="L1020" s="17">
        <f>SUM(L1021)</f>
        <v>11.8</v>
      </c>
      <c r="M1020" s="17">
        <f t="shared" si="119"/>
        <v>94.4</v>
      </c>
    </row>
    <row r="1021" spans="1:13" s="12" customFormat="1" ht="31.5" x14ac:dyDescent="0.2">
      <c r="A1021" s="85"/>
      <c r="B1021" s="33" t="s">
        <v>175</v>
      </c>
      <c r="C1021" s="42">
        <v>926</v>
      </c>
      <c r="D1021" s="13" t="s">
        <v>17</v>
      </c>
      <c r="E1021" s="13" t="s">
        <v>6</v>
      </c>
      <c r="F1021" s="13" t="s">
        <v>6</v>
      </c>
      <c r="G1021" s="25">
        <v>1</v>
      </c>
      <c r="H1021" s="13" t="s">
        <v>2</v>
      </c>
      <c r="I1021" s="13" t="s">
        <v>455</v>
      </c>
      <c r="J1021" s="13" t="s">
        <v>58</v>
      </c>
      <c r="K1021" s="17">
        <v>12.5</v>
      </c>
      <c r="L1021" s="17">
        <v>11.8</v>
      </c>
      <c r="M1021" s="17">
        <f t="shared" si="119"/>
        <v>94.4</v>
      </c>
    </row>
    <row r="1022" spans="1:13" s="12" customFormat="1" ht="46.9" customHeight="1" x14ac:dyDescent="0.2">
      <c r="A1022" s="85"/>
      <c r="B1022" s="50" t="s">
        <v>295</v>
      </c>
      <c r="C1022" s="42">
        <v>926</v>
      </c>
      <c r="D1022" s="13" t="s">
        <v>17</v>
      </c>
      <c r="E1022" s="26" t="s">
        <v>6</v>
      </c>
      <c r="F1022" s="26" t="s">
        <v>6</v>
      </c>
      <c r="G1022" s="42">
        <v>1</v>
      </c>
      <c r="H1022" s="26" t="s">
        <v>4</v>
      </c>
      <c r="I1022" s="26"/>
      <c r="J1022" s="26"/>
      <c r="K1022" s="17">
        <f>SUM(K1023)</f>
        <v>10677.499999999998</v>
      </c>
      <c r="L1022" s="17">
        <f>SUM(L1023)</f>
        <v>6314.8</v>
      </c>
      <c r="M1022" s="17">
        <f t="shared" si="119"/>
        <v>59.141184734254281</v>
      </c>
    </row>
    <row r="1023" spans="1:13" s="12" customFormat="1" ht="64.150000000000006" customHeight="1" x14ac:dyDescent="0.2">
      <c r="A1023" s="85"/>
      <c r="B1023" s="33" t="s">
        <v>88</v>
      </c>
      <c r="C1023" s="42">
        <v>926</v>
      </c>
      <c r="D1023" s="26" t="s">
        <v>17</v>
      </c>
      <c r="E1023" s="26" t="s">
        <v>6</v>
      </c>
      <c r="F1023" s="26" t="s">
        <v>6</v>
      </c>
      <c r="G1023" s="42">
        <v>1</v>
      </c>
      <c r="H1023" s="26" t="s">
        <v>4</v>
      </c>
      <c r="I1023" s="26" t="s">
        <v>116</v>
      </c>
      <c r="J1023" s="26"/>
      <c r="K1023" s="17">
        <f>SUM(K1024:K1027)</f>
        <v>10677.499999999998</v>
      </c>
      <c r="L1023" s="17">
        <f>SUM(L1024:L1027)</f>
        <v>6314.8</v>
      </c>
      <c r="M1023" s="17">
        <f t="shared" si="119"/>
        <v>59.141184734254281</v>
      </c>
    </row>
    <row r="1024" spans="1:13" s="12" customFormat="1" ht="46.9" customHeight="1" x14ac:dyDescent="0.2">
      <c r="A1024" s="85"/>
      <c r="B1024" s="33" t="s">
        <v>55</v>
      </c>
      <c r="C1024" s="42">
        <v>926</v>
      </c>
      <c r="D1024" s="26" t="s">
        <v>17</v>
      </c>
      <c r="E1024" s="26" t="s">
        <v>6</v>
      </c>
      <c r="F1024" s="26" t="s">
        <v>6</v>
      </c>
      <c r="G1024" s="42">
        <v>1</v>
      </c>
      <c r="H1024" s="26" t="s">
        <v>4</v>
      </c>
      <c r="I1024" s="26" t="s">
        <v>116</v>
      </c>
      <c r="J1024" s="26" t="s">
        <v>56</v>
      </c>
      <c r="K1024" s="17">
        <f>7124.6+70.8</f>
        <v>7195.4000000000005</v>
      </c>
      <c r="L1024" s="17">
        <v>4238.8</v>
      </c>
      <c r="M1024" s="17">
        <f t="shared" si="119"/>
        <v>58.909859076632287</v>
      </c>
    </row>
    <row r="1025" spans="1:13" s="12" customFormat="1" ht="31.5" x14ac:dyDescent="0.2">
      <c r="A1025" s="85"/>
      <c r="B1025" s="33" t="s">
        <v>175</v>
      </c>
      <c r="C1025" s="42">
        <v>926</v>
      </c>
      <c r="D1025" s="26" t="s">
        <v>17</v>
      </c>
      <c r="E1025" s="26" t="s">
        <v>6</v>
      </c>
      <c r="F1025" s="26" t="s">
        <v>6</v>
      </c>
      <c r="G1025" s="42">
        <v>1</v>
      </c>
      <c r="H1025" s="26" t="s">
        <v>4</v>
      </c>
      <c r="I1025" s="26" t="s">
        <v>116</v>
      </c>
      <c r="J1025" s="26" t="s">
        <v>58</v>
      </c>
      <c r="K1025" s="17">
        <f>9250.3-7136.4+88.2-2.2-18</f>
        <v>2181.8999999999996</v>
      </c>
      <c r="L1025" s="17">
        <v>1169.8</v>
      </c>
      <c r="M1025" s="17">
        <f t="shared" si="119"/>
        <v>53.613822814977773</v>
      </c>
    </row>
    <row r="1026" spans="1:13" s="12" customFormat="1" x14ac:dyDescent="0.2">
      <c r="A1026" s="85"/>
      <c r="B1026" s="33" t="s">
        <v>22</v>
      </c>
      <c r="C1026" s="42">
        <v>926</v>
      </c>
      <c r="D1026" s="26" t="s">
        <v>17</v>
      </c>
      <c r="E1026" s="26" t="s">
        <v>6</v>
      </c>
      <c r="F1026" s="26" t="s">
        <v>6</v>
      </c>
      <c r="G1026" s="42">
        <v>1</v>
      </c>
      <c r="H1026" s="26" t="s">
        <v>4</v>
      </c>
      <c r="I1026" s="26" t="s">
        <v>116</v>
      </c>
      <c r="J1026" s="26" t="s">
        <v>73</v>
      </c>
      <c r="K1026" s="17">
        <v>1288.4000000000001</v>
      </c>
      <c r="L1026" s="17">
        <v>897.3</v>
      </c>
      <c r="M1026" s="17">
        <f t="shared" si="119"/>
        <v>69.644520335299589</v>
      </c>
    </row>
    <row r="1027" spans="1:13" s="12" customFormat="1" x14ac:dyDescent="0.2">
      <c r="A1027" s="85"/>
      <c r="B1027" s="33" t="s">
        <v>60</v>
      </c>
      <c r="C1027" s="42">
        <v>926</v>
      </c>
      <c r="D1027" s="26" t="s">
        <v>17</v>
      </c>
      <c r="E1027" s="26" t="s">
        <v>6</v>
      </c>
      <c r="F1027" s="26" t="s">
        <v>6</v>
      </c>
      <c r="G1027" s="42">
        <v>1</v>
      </c>
      <c r="H1027" s="26" t="s">
        <v>4</v>
      </c>
      <c r="I1027" s="26" t="s">
        <v>116</v>
      </c>
      <c r="J1027" s="26" t="s">
        <v>61</v>
      </c>
      <c r="K1027" s="17">
        <v>11.8</v>
      </c>
      <c r="L1027" s="17">
        <v>8.9</v>
      </c>
      <c r="M1027" s="17">
        <f t="shared" si="119"/>
        <v>75.423728813559322</v>
      </c>
    </row>
    <row r="1028" spans="1:13" s="12" customFormat="1" ht="31.9" customHeight="1" x14ac:dyDescent="0.2">
      <c r="A1028" s="85"/>
      <c r="B1028" s="54" t="s">
        <v>313</v>
      </c>
      <c r="C1028" s="42">
        <v>926</v>
      </c>
      <c r="D1028" s="26" t="s">
        <v>17</v>
      </c>
      <c r="E1028" s="26" t="s">
        <v>6</v>
      </c>
      <c r="F1028" s="13" t="s">
        <v>6</v>
      </c>
      <c r="G1028" s="13" t="s">
        <v>166</v>
      </c>
      <c r="H1028" s="13"/>
      <c r="I1028" s="26"/>
      <c r="J1028" s="26"/>
      <c r="K1028" s="17">
        <f>K1029</f>
        <v>1.1000000000000001</v>
      </c>
      <c r="L1028" s="17">
        <f>L1029</f>
        <v>0</v>
      </c>
      <c r="M1028" s="17">
        <f t="shared" si="119"/>
        <v>0</v>
      </c>
    </row>
    <row r="1029" spans="1:13" s="12" customFormat="1" ht="63" customHeight="1" x14ac:dyDescent="0.2">
      <c r="A1029" s="85"/>
      <c r="B1029" s="54" t="s">
        <v>291</v>
      </c>
      <c r="C1029" s="42">
        <v>926</v>
      </c>
      <c r="D1029" s="26" t="s">
        <v>17</v>
      </c>
      <c r="E1029" s="26" t="s">
        <v>6</v>
      </c>
      <c r="F1029" s="13" t="s">
        <v>6</v>
      </c>
      <c r="G1029" s="13" t="s">
        <v>166</v>
      </c>
      <c r="H1029" s="13" t="s">
        <v>2</v>
      </c>
      <c r="I1029" s="26"/>
      <c r="J1029" s="26"/>
      <c r="K1029" s="17">
        <f>K1030+K1032</f>
        <v>1.1000000000000001</v>
      </c>
      <c r="L1029" s="17">
        <f>L1030+L1032</f>
        <v>0</v>
      </c>
      <c r="M1029" s="17">
        <f t="shared" si="119"/>
        <v>0</v>
      </c>
    </row>
    <row r="1030" spans="1:13" s="12" customFormat="1" x14ac:dyDescent="0.2">
      <c r="A1030" s="85"/>
      <c r="B1030" s="33" t="s">
        <v>411</v>
      </c>
      <c r="C1030" s="42">
        <v>926</v>
      </c>
      <c r="D1030" s="26" t="s">
        <v>17</v>
      </c>
      <c r="E1030" s="26" t="s">
        <v>6</v>
      </c>
      <c r="F1030" s="13" t="s">
        <v>6</v>
      </c>
      <c r="G1030" s="13" t="s">
        <v>166</v>
      </c>
      <c r="H1030" s="13" t="s">
        <v>2</v>
      </c>
      <c r="I1030" s="13" t="s">
        <v>404</v>
      </c>
      <c r="J1030" s="26"/>
      <c r="K1030" s="17">
        <f>K1031</f>
        <v>0</v>
      </c>
      <c r="L1030" s="17">
        <f>L1031</f>
        <v>0</v>
      </c>
      <c r="M1030" s="17"/>
    </row>
    <row r="1031" spans="1:13" s="12" customFormat="1" ht="48" customHeight="1" x14ac:dyDescent="0.2">
      <c r="A1031" s="85"/>
      <c r="B1031" s="33" t="s">
        <v>55</v>
      </c>
      <c r="C1031" s="42">
        <v>926</v>
      </c>
      <c r="D1031" s="26" t="s">
        <v>17</v>
      </c>
      <c r="E1031" s="26" t="s">
        <v>6</v>
      </c>
      <c r="F1031" s="13" t="s">
        <v>6</v>
      </c>
      <c r="G1031" s="13" t="s">
        <v>166</v>
      </c>
      <c r="H1031" s="13" t="s">
        <v>2</v>
      </c>
      <c r="I1031" s="13" t="s">
        <v>404</v>
      </c>
      <c r="J1031" s="26" t="s">
        <v>56</v>
      </c>
      <c r="K1031" s="17">
        <v>0</v>
      </c>
      <c r="L1031" s="17">
        <v>0</v>
      </c>
      <c r="M1031" s="17"/>
    </row>
    <row r="1032" spans="1:13" s="12" customFormat="1" ht="127.15" customHeight="1" x14ac:dyDescent="0.2">
      <c r="A1032" s="85"/>
      <c r="B1032" s="64" t="s">
        <v>359</v>
      </c>
      <c r="C1032" s="42">
        <v>926</v>
      </c>
      <c r="D1032" s="26" t="s">
        <v>17</v>
      </c>
      <c r="E1032" s="26" t="s">
        <v>6</v>
      </c>
      <c r="F1032" s="13" t="s">
        <v>6</v>
      </c>
      <c r="G1032" s="13" t="s">
        <v>166</v>
      </c>
      <c r="H1032" s="13" t="s">
        <v>2</v>
      </c>
      <c r="I1032" s="26" t="s">
        <v>153</v>
      </c>
      <c r="J1032" s="26"/>
      <c r="K1032" s="17">
        <f t="shared" ref="K1032:L1032" si="123">SUM(K1033)</f>
        <v>1.1000000000000001</v>
      </c>
      <c r="L1032" s="17">
        <f t="shared" si="123"/>
        <v>0</v>
      </c>
      <c r="M1032" s="17">
        <f t="shared" si="119"/>
        <v>0</v>
      </c>
    </row>
    <row r="1033" spans="1:13" s="12" customFormat="1" ht="31.5" x14ac:dyDescent="0.2">
      <c r="A1033" s="85"/>
      <c r="B1033" s="33" t="s">
        <v>175</v>
      </c>
      <c r="C1033" s="42">
        <v>926</v>
      </c>
      <c r="D1033" s="26" t="s">
        <v>17</v>
      </c>
      <c r="E1033" s="26" t="s">
        <v>6</v>
      </c>
      <c r="F1033" s="13" t="s">
        <v>6</v>
      </c>
      <c r="G1033" s="13" t="s">
        <v>166</v>
      </c>
      <c r="H1033" s="13" t="s">
        <v>2</v>
      </c>
      <c r="I1033" s="26" t="s">
        <v>153</v>
      </c>
      <c r="J1033" s="26" t="s">
        <v>58</v>
      </c>
      <c r="K1033" s="17">
        <v>1.1000000000000001</v>
      </c>
      <c r="L1033" s="17">
        <v>0</v>
      </c>
      <c r="M1033" s="17">
        <f t="shared" si="119"/>
        <v>0</v>
      </c>
    </row>
    <row r="1034" spans="1:13" s="12" customFormat="1" x14ac:dyDescent="0.2">
      <c r="A1034" s="85"/>
      <c r="B1034" s="50" t="s">
        <v>446</v>
      </c>
      <c r="C1034" s="42">
        <v>926</v>
      </c>
      <c r="D1034" s="26" t="s">
        <v>17</v>
      </c>
      <c r="E1034" s="26" t="s">
        <v>6</v>
      </c>
      <c r="F1034" s="13" t="s">
        <v>6</v>
      </c>
      <c r="G1034" s="13" t="s">
        <v>189</v>
      </c>
      <c r="H1034" s="13"/>
      <c r="I1034" s="13"/>
      <c r="J1034" s="26"/>
      <c r="K1034" s="17">
        <f>SUM(K1035)</f>
        <v>149.80000000000001</v>
      </c>
      <c r="L1034" s="17">
        <f>SUM(L1035)</f>
        <v>149.80000000000001</v>
      </c>
      <c r="M1034" s="17">
        <f t="shared" si="119"/>
        <v>100</v>
      </c>
    </row>
    <row r="1035" spans="1:13" s="12" customFormat="1" ht="30" customHeight="1" x14ac:dyDescent="0.2">
      <c r="A1035" s="85"/>
      <c r="B1035" s="53" t="s">
        <v>447</v>
      </c>
      <c r="C1035" s="42">
        <v>926</v>
      </c>
      <c r="D1035" s="26" t="s">
        <v>17</v>
      </c>
      <c r="E1035" s="26" t="s">
        <v>6</v>
      </c>
      <c r="F1035" s="13" t="s">
        <v>6</v>
      </c>
      <c r="G1035" s="13" t="s">
        <v>189</v>
      </c>
      <c r="H1035" s="13" t="s">
        <v>4</v>
      </c>
      <c r="I1035" s="13"/>
      <c r="J1035" s="26"/>
      <c r="K1035" s="17">
        <f>SUM(K1036+K1038)</f>
        <v>149.80000000000001</v>
      </c>
      <c r="L1035" s="17">
        <f>SUM(L1036+L1038)</f>
        <v>149.80000000000001</v>
      </c>
      <c r="M1035" s="17">
        <f t="shared" si="119"/>
        <v>100</v>
      </c>
    </row>
    <row r="1036" spans="1:13" s="12" customFormat="1" ht="15.6" customHeight="1" x14ac:dyDescent="0.2">
      <c r="A1036" s="85"/>
      <c r="B1036" s="53" t="s">
        <v>448</v>
      </c>
      <c r="C1036" s="42">
        <v>926</v>
      </c>
      <c r="D1036" s="26" t="s">
        <v>17</v>
      </c>
      <c r="E1036" s="26" t="s">
        <v>6</v>
      </c>
      <c r="F1036" s="13" t="s">
        <v>6</v>
      </c>
      <c r="G1036" s="13" t="s">
        <v>189</v>
      </c>
      <c r="H1036" s="13" t="s">
        <v>4</v>
      </c>
      <c r="I1036" s="13" t="s">
        <v>445</v>
      </c>
      <c r="J1036" s="26"/>
      <c r="K1036" s="17">
        <f>SUM(K1037)</f>
        <v>0</v>
      </c>
      <c r="L1036" s="17">
        <f>SUM(L1037)</f>
        <v>0</v>
      </c>
      <c r="M1036" s="17"/>
    </row>
    <row r="1037" spans="1:13" s="12" customFormat="1" ht="16.899999999999999" customHeight="1" x14ac:dyDescent="0.2">
      <c r="A1037" s="85"/>
      <c r="B1037" s="53" t="s">
        <v>22</v>
      </c>
      <c r="C1037" s="42">
        <v>926</v>
      </c>
      <c r="D1037" s="26" t="s">
        <v>17</v>
      </c>
      <c r="E1037" s="26" t="s">
        <v>6</v>
      </c>
      <c r="F1037" s="13" t="s">
        <v>6</v>
      </c>
      <c r="G1037" s="13" t="s">
        <v>189</v>
      </c>
      <c r="H1037" s="13" t="s">
        <v>4</v>
      </c>
      <c r="I1037" s="13" t="s">
        <v>445</v>
      </c>
      <c r="J1037" s="26" t="s">
        <v>73</v>
      </c>
      <c r="K1037" s="17">
        <v>0</v>
      </c>
      <c r="L1037" s="17">
        <v>0</v>
      </c>
      <c r="M1037" s="17"/>
    </row>
    <row r="1038" spans="1:13" s="12" customFormat="1" ht="16.899999999999999" customHeight="1" x14ac:dyDescent="0.2">
      <c r="A1038" s="85"/>
      <c r="B1038" s="53" t="s">
        <v>453</v>
      </c>
      <c r="C1038" s="42">
        <v>926</v>
      </c>
      <c r="D1038" s="26" t="s">
        <v>17</v>
      </c>
      <c r="E1038" s="26" t="s">
        <v>6</v>
      </c>
      <c r="F1038" s="13" t="s">
        <v>6</v>
      </c>
      <c r="G1038" s="13" t="s">
        <v>189</v>
      </c>
      <c r="H1038" s="13" t="s">
        <v>4</v>
      </c>
      <c r="I1038" s="13" t="s">
        <v>484</v>
      </c>
      <c r="J1038" s="26"/>
      <c r="K1038" s="17">
        <f>K1039</f>
        <v>149.80000000000001</v>
      </c>
      <c r="L1038" s="17">
        <f>L1039</f>
        <v>149.80000000000001</v>
      </c>
      <c r="M1038" s="17">
        <f t="shared" si="119"/>
        <v>100</v>
      </c>
    </row>
    <row r="1039" spans="1:13" s="12" customFormat="1" ht="17.45" customHeight="1" x14ac:dyDescent="0.2">
      <c r="A1039" s="85"/>
      <c r="B1039" s="53" t="s">
        <v>22</v>
      </c>
      <c r="C1039" s="42">
        <v>926</v>
      </c>
      <c r="D1039" s="26" t="s">
        <v>17</v>
      </c>
      <c r="E1039" s="26" t="s">
        <v>6</v>
      </c>
      <c r="F1039" s="13" t="s">
        <v>6</v>
      </c>
      <c r="G1039" s="13" t="s">
        <v>189</v>
      </c>
      <c r="H1039" s="13" t="s">
        <v>4</v>
      </c>
      <c r="I1039" s="13" t="s">
        <v>484</v>
      </c>
      <c r="J1039" s="26" t="s">
        <v>73</v>
      </c>
      <c r="K1039" s="17">
        <v>149.80000000000001</v>
      </c>
      <c r="L1039" s="17">
        <v>149.80000000000001</v>
      </c>
      <c r="M1039" s="17">
        <f t="shared" si="119"/>
        <v>100</v>
      </c>
    </row>
    <row r="1040" spans="1:13" s="12" customFormat="1" ht="47.45" customHeight="1" x14ac:dyDescent="0.2">
      <c r="A1040" s="85"/>
      <c r="B1040" s="33" t="s">
        <v>416</v>
      </c>
      <c r="C1040" s="42">
        <v>926</v>
      </c>
      <c r="D1040" s="26" t="s">
        <v>17</v>
      </c>
      <c r="E1040" s="26" t="s">
        <v>6</v>
      </c>
      <c r="F1040" s="13" t="s">
        <v>93</v>
      </c>
      <c r="G1040" s="42"/>
      <c r="H1040" s="26"/>
      <c r="I1040" s="26"/>
      <c r="J1040" s="26"/>
      <c r="K1040" s="17">
        <f>K1045+K1041</f>
        <v>2392.4</v>
      </c>
      <c r="L1040" s="17">
        <f>L1045+L1041</f>
        <v>1748.6</v>
      </c>
      <c r="M1040" s="17">
        <f t="shared" si="119"/>
        <v>73.089784317003833</v>
      </c>
    </row>
    <row r="1041" spans="1:13" s="12" customFormat="1" ht="51" customHeight="1" x14ac:dyDescent="0.2">
      <c r="A1041" s="85"/>
      <c r="B1041" s="33" t="s">
        <v>425</v>
      </c>
      <c r="C1041" s="42">
        <v>926</v>
      </c>
      <c r="D1041" s="26" t="s">
        <v>17</v>
      </c>
      <c r="E1041" s="26" t="s">
        <v>6</v>
      </c>
      <c r="F1041" s="13" t="s">
        <v>93</v>
      </c>
      <c r="G1041" s="13" t="s">
        <v>126</v>
      </c>
      <c r="H1041" s="13"/>
      <c r="I1041" s="13"/>
      <c r="J1041" s="13"/>
      <c r="K1041" s="17">
        <f t="shared" ref="K1041:L1043" si="124">K1042</f>
        <v>402.8</v>
      </c>
      <c r="L1041" s="17">
        <f t="shared" si="124"/>
        <v>62.8</v>
      </c>
      <c r="M1041" s="17">
        <f t="shared" si="119"/>
        <v>15.590863952333663</v>
      </c>
    </row>
    <row r="1042" spans="1:13" s="12" customFormat="1" ht="65.45" customHeight="1" x14ac:dyDescent="0.2">
      <c r="A1042" s="85"/>
      <c r="B1042" s="33" t="s">
        <v>424</v>
      </c>
      <c r="C1042" s="42">
        <v>926</v>
      </c>
      <c r="D1042" s="26" t="s">
        <v>17</v>
      </c>
      <c r="E1042" s="26" t="s">
        <v>6</v>
      </c>
      <c r="F1042" s="13" t="s">
        <v>93</v>
      </c>
      <c r="G1042" s="13" t="s">
        <v>126</v>
      </c>
      <c r="H1042" s="13" t="s">
        <v>2</v>
      </c>
      <c r="I1042" s="13"/>
      <c r="J1042" s="13"/>
      <c r="K1042" s="17">
        <f t="shared" si="124"/>
        <v>402.8</v>
      </c>
      <c r="L1042" s="17">
        <f t="shared" si="124"/>
        <v>62.8</v>
      </c>
      <c r="M1042" s="17">
        <f t="shared" si="119"/>
        <v>15.590863952333663</v>
      </c>
    </row>
    <row r="1043" spans="1:13" s="12" customFormat="1" ht="97.9" customHeight="1" x14ac:dyDescent="0.2">
      <c r="A1043" s="85"/>
      <c r="B1043" s="33" t="s">
        <v>426</v>
      </c>
      <c r="C1043" s="42">
        <v>926</v>
      </c>
      <c r="D1043" s="26" t="s">
        <v>17</v>
      </c>
      <c r="E1043" s="26" t="s">
        <v>6</v>
      </c>
      <c r="F1043" s="13" t="s">
        <v>93</v>
      </c>
      <c r="G1043" s="13" t="s">
        <v>126</v>
      </c>
      <c r="H1043" s="13" t="s">
        <v>2</v>
      </c>
      <c r="I1043" s="13" t="s">
        <v>387</v>
      </c>
      <c r="J1043" s="13"/>
      <c r="K1043" s="17">
        <f t="shared" si="124"/>
        <v>402.8</v>
      </c>
      <c r="L1043" s="17">
        <f t="shared" si="124"/>
        <v>62.8</v>
      </c>
      <c r="M1043" s="17">
        <f t="shared" si="119"/>
        <v>15.590863952333663</v>
      </c>
    </row>
    <row r="1044" spans="1:13" s="12" customFormat="1" ht="31.5" x14ac:dyDescent="0.2">
      <c r="A1044" s="85"/>
      <c r="B1044" s="33" t="s">
        <v>175</v>
      </c>
      <c r="C1044" s="42">
        <v>926</v>
      </c>
      <c r="D1044" s="26" t="s">
        <v>17</v>
      </c>
      <c r="E1044" s="26" t="s">
        <v>6</v>
      </c>
      <c r="F1044" s="13" t="s">
        <v>93</v>
      </c>
      <c r="G1044" s="13" t="s">
        <v>126</v>
      </c>
      <c r="H1044" s="13" t="s">
        <v>2</v>
      </c>
      <c r="I1044" s="13" t="s">
        <v>387</v>
      </c>
      <c r="J1044" s="13" t="s">
        <v>58</v>
      </c>
      <c r="K1044" s="17">
        <f>300+40+62.8</f>
        <v>402.8</v>
      </c>
      <c r="L1044" s="17">
        <v>62.8</v>
      </c>
      <c r="M1044" s="17">
        <f t="shared" ref="M1044:M1107" si="125">L1044/K1044*100</f>
        <v>15.590863952333663</v>
      </c>
    </row>
    <row r="1045" spans="1:13" s="12" customFormat="1" ht="46.15" customHeight="1" x14ac:dyDescent="0.2">
      <c r="A1045" s="85"/>
      <c r="B1045" s="33" t="s">
        <v>232</v>
      </c>
      <c r="C1045" s="42">
        <v>926</v>
      </c>
      <c r="D1045" s="26" t="s">
        <v>17</v>
      </c>
      <c r="E1045" s="26" t="s">
        <v>6</v>
      </c>
      <c r="F1045" s="13" t="s">
        <v>93</v>
      </c>
      <c r="G1045" s="25">
        <v>2</v>
      </c>
      <c r="H1045" s="13"/>
      <c r="I1045" s="13"/>
      <c r="J1045" s="13"/>
      <c r="K1045" s="17">
        <f t="shared" ref="K1045:L1047" si="126">K1046</f>
        <v>1989.6</v>
      </c>
      <c r="L1045" s="17">
        <f t="shared" si="126"/>
        <v>1685.8</v>
      </c>
      <c r="M1045" s="17">
        <f t="shared" si="125"/>
        <v>84.730599115400082</v>
      </c>
    </row>
    <row r="1046" spans="1:13" s="12" customFormat="1" ht="114" customHeight="1" x14ac:dyDescent="0.2">
      <c r="A1046" s="85"/>
      <c r="B1046" s="67" t="s">
        <v>233</v>
      </c>
      <c r="C1046" s="42">
        <v>926</v>
      </c>
      <c r="D1046" s="26" t="s">
        <v>17</v>
      </c>
      <c r="E1046" s="26" t="s">
        <v>6</v>
      </c>
      <c r="F1046" s="13" t="s">
        <v>93</v>
      </c>
      <c r="G1046" s="25">
        <v>2</v>
      </c>
      <c r="H1046" s="13" t="s">
        <v>2</v>
      </c>
      <c r="I1046" s="13"/>
      <c r="J1046" s="13"/>
      <c r="K1046" s="17">
        <f t="shared" si="126"/>
        <v>1989.6</v>
      </c>
      <c r="L1046" s="17">
        <f t="shared" si="126"/>
        <v>1685.8</v>
      </c>
      <c r="M1046" s="17">
        <f t="shared" si="125"/>
        <v>84.730599115400082</v>
      </c>
    </row>
    <row r="1047" spans="1:13" s="12" customFormat="1" ht="85.15" customHeight="1" x14ac:dyDescent="0.2">
      <c r="A1047" s="85"/>
      <c r="B1047" s="33" t="s">
        <v>256</v>
      </c>
      <c r="C1047" s="42">
        <v>926</v>
      </c>
      <c r="D1047" s="26" t="s">
        <v>17</v>
      </c>
      <c r="E1047" s="26" t="s">
        <v>6</v>
      </c>
      <c r="F1047" s="13" t="s">
        <v>93</v>
      </c>
      <c r="G1047" s="25">
        <v>2</v>
      </c>
      <c r="H1047" s="13" t="s">
        <v>2</v>
      </c>
      <c r="I1047" s="13" t="s">
        <v>234</v>
      </c>
      <c r="J1047" s="13"/>
      <c r="K1047" s="17">
        <f t="shared" si="126"/>
        <v>1989.6</v>
      </c>
      <c r="L1047" s="17">
        <f t="shared" si="126"/>
        <v>1685.8</v>
      </c>
      <c r="M1047" s="17">
        <f t="shared" si="125"/>
        <v>84.730599115400082</v>
      </c>
    </row>
    <row r="1048" spans="1:13" s="12" customFormat="1" ht="34.15" customHeight="1" x14ac:dyDescent="0.2">
      <c r="A1048" s="85"/>
      <c r="B1048" s="33" t="s">
        <v>175</v>
      </c>
      <c r="C1048" s="42">
        <v>926</v>
      </c>
      <c r="D1048" s="26" t="s">
        <v>17</v>
      </c>
      <c r="E1048" s="26" t="s">
        <v>6</v>
      </c>
      <c r="F1048" s="13" t="s">
        <v>93</v>
      </c>
      <c r="G1048" s="25">
        <v>2</v>
      </c>
      <c r="H1048" s="13" t="s">
        <v>2</v>
      </c>
      <c r="I1048" s="13" t="s">
        <v>234</v>
      </c>
      <c r="J1048" s="13" t="s">
        <v>58</v>
      </c>
      <c r="K1048" s="17">
        <f>2868.8+1521-62.8-2337.4</f>
        <v>1989.6</v>
      </c>
      <c r="L1048" s="17">
        <v>1685.8</v>
      </c>
      <c r="M1048" s="17">
        <f t="shared" si="125"/>
        <v>84.730599115400082</v>
      </c>
    </row>
    <row r="1049" spans="1:13" s="12" customFormat="1" ht="30.75" customHeight="1" x14ac:dyDescent="0.2">
      <c r="A1049" s="92" t="s">
        <v>23</v>
      </c>
      <c r="B1049" s="68" t="s">
        <v>32</v>
      </c>
      <c r="C1049" s="26">
        <v>929</v>
      </c>
      <c r="D1049" s="26"/>
      <c r="E1049" s="13"/>
      <c r="F1049" s="13"/>
      <c r="G1049" s="13"/>
      <c r="H1049" s="13"/>
      <c r="I1049" s="13"/>
      <c r="J1049" s="13"/>
      <c r="K1049" s="17">
        <f>SUM(K1100+K1050+K1063)</f>
        <v>218878.19999999995</v>
      </c>
      <c r="L1049" s="17">
        <f>SUM(L1100+L1050+L1063)</f>
        <v>161648</v>
      </c>
      <c r="M1049" s="17">
        <f t="shared" si="125"/>
        <v>73.852946524596803</v>
      </c>
    </row>
    <row r="1050" spans="1:13" s="12" customFormat="1" ht="33.6" customHeight="1" x14ac:dyDescent="0.2">
      <c r="A1050" s="85"/>
      <c r="B1050" s="33" t="s">
        <v>14</v>
      </c>
      <c r="C1050" s="42">
        <v>929</v>
      </c>
      <c r="D1050" s="13" t="s">
        <v>5</v>
      </c>
      <c r="E1050" s="26"/>
      <c r="F1050" s="26"/>
      <c r="G1050" s="42"/>
      <c r="H1050" s="26"/>
      <c r="I1050" s="26"/>
      <c r="J1050" s="26"/>
      <c r="K1050" s="17">
        <f>SUM(K1051+K1056)</f>
        <v>57.5</v>
      </c>
      <c r="L1050" s="17">
        <f>SUM(L1051+L1056)</f>
        <v>57.5</v>
      </c>
      <c r="M1050" s="17">
        <f t="shared" si="125"/>
        <v>100</v>
      </c>
    </row>
    <row r="1051" spans="1:13" s="12" customFormat="1" ht="49.15" customHeight="1" x14ac:dyDescent="0.2">
      <c r="A1051" s="85"/>
      <c r="B1051" s="33" t="s">
        <v>412</v>
      </c>
      <c r="C1051" s="42">
        <v>929</v>
      </c>
      <c r="D1051" s="26" t="s">
        <v>5</v>
      </c>
      <c r="E1051" s="13" t="s">
        <v>21</v>
      </c>
      <c r="F1051" s="26"/>
      <c r="G1051" s="42"/>
      <c r="H1051" s="26"/>
      <c r="I1051" s="26"/>
      <c r="J1051" s="26"/>
      <c r="K1051" s="17">
        <f t="shared" ref="K1051:L1054" si="127">SUM(K1052)</f>
        <v>0</v>
      </c>
      <c r="L1051" s="17">
        <f t="shared" si="127"/>
        <v>0</v>
      </c>
      <c r="M1051" s="17"/>
    </row>
    <row r="1052" spans="1:13" s="12" customFormat="1" ht="50.45" customHeight="1" x14ac:dyDescent="0.2">
      <c r="A1052" s="85"/>
      <c r="B1052" s="33" t="s">
        <v>84</v>
      </c>
      <c r="C1052" s="42">
        <v>929</v>
      </c>
      <c r="D1052" s="26" t="s">
        <v>5</v>
      </c>
      <c r="E1052" s="13" t="s">
        <v>21</v>
      </c>
      <c r="F1052" s="26" t="s">
        <v>141</v>
      </c>
      <c r="G1052" s="42"/>
      <c r="H1052" s="26"/>
      <c r="I1052" s="26"/>
      <c r="J1052" s="26"/>
      <c r="K1052" s="17">
        <f t="shared" si="127"/>
        <v>0</v>
      </c>
      <c r="L1052" s="17">
        <f t="shared" si="127"/>
        <v>0</v>
      </c>
      <c r="M1052" s="17"/>
    </row>
    <row r="1053" spans="1:13" s="12" customFormat="1" ht="19.149999999999999" customHeight="1" x14ac:dyDescent="0.2">
      <c r="A1053" s="85"/>
      <c r="B1053" s="33" t="s">
        <v>64</v>
      </c>
      <c r="C1053" s="42">
        <v>929</v>
      </c>
      <c r="D1053" s="26" t="s">
        <v>5</v>
      </c>
      <c r="E1053" s="13" t="s">
        <v>21</v>
      </c>
      <c r="F1053" s="13" t="s">
        <v>141</v>
      </c>
      <c r="G1053" s="25">
        <v>2</v>
      </c>
      <c r="H1053" s="13"/>
      <c r="I1053" s="13"/>
      <c r="J1053" s="26"/>
      <c r="K1053" s="17">
        <f t="shared" si="127"/>
        <v>0</v>
      </c>
      <c r="L1053" s="17">
        <f t="shared" si="127"/>
        <v>0</v>
      </c>
      <c r="M1053" s="17"/>
    </row>
    <row r="1054" spans="1:13" s="12" customFormat="1" ht="19.149999999999999" customHeight="1" x14ac:dyDescent="0.2">
      <c r="A1054" s="85"/>
      <c r="B1054" s="33" t="s">
        <v>444</v>
      </c>
      <c r="C1054" s="42">
        <v>929</v>
      </c>
      <c r="D1054" s="26" t="s">
        <v>5</v>
      </c>
      <c r="E1054" s="13" t="s">
        <v>21</v>
      </c>
      <c r="F1054" s="13" t="s">
        <v>141</v>
      </c>
      <c r="G1054" s="25">
        <v>2</v>
      </c>
      <c r="H1054" s="13" t="s">
        <v>102</v>
      </c>
      <c r="I1054" s="13" t="s">
        <v>347</v>
      </c>
      <c r="J1054" s="26"/>
      <c r="K1054" s="17">
        <f t="shared" si="127"/>
        <v>0</v>
      </c>
      <c r="L1054" s="17">
        <f t="shared" si="127"/>
        <v>0</v>
      </c>
      <c r="M1054" s="17"/>
    </row>
    <row r="1055" spans="1:13" s="12" customFormat="1" ht="33" customHeight="1" x14ac:dyDescent="0.2">
      <c r="A1055" s="85"/>
      <c r="B1055" s="53" t="s">
        <v>76</v>
      </c>
      <c r="C1055" s="42">
        <v>929</v>
      </c>
      <c r="D1055" s="26" t="s">
        <v>5</v>
      </c>
      <c r="E1055" s="13" t="s">
        <v>21</v>
      </c>
      <c r="F1055" s="13" t="s">
        <v>141</v>
      </c>
      <c r="G1055" s="25">
        <v>2</v>
      </c>
      <c r="H1055" s="13" t="s">
        <v>102</v>
      </c>
      <c r="I1055" s="13" t="s">
        <v>347</v>
      </c>
      <c r="J1055" s="26" t="s">
        <v>77</v>
      </c>
      <c r="K1055" s="17">
        <f>10596.2-10596.2</f>
        <v>0</v>
      </c>
      <c r="L1055" s="17">
        <v>0</v>
      </c>
      <c r="M1055" s="17"/>
    </row>
    <row r="1056" spans="1:13" s="12" customFormat="1" ht="32.450000000000003" customHeight="1" x14ac:dyDescent="0.2">
      <c r="A1056" s="85"/>
      <c r="B1056" s="33" t="s">
        <v>190</v>
      </c>
      <c r="C1056" s="42">
        <v>929</v>
      </c>
      <c r="D1056" s="26" t="s">
        <v>5</v>
      </c>
      <c r="E1056" s="26" t="s">
        <v>10</v>
      </c>
      <c r="F1056" s="26"/>
      <c r="G1056" s="42"/>
      <c r="H1056" s="26"/>
      <c r="I1056" s="26"/>
      <c r="J1056" s="26"/>
      <c r="K1056" s="17">
        <f t="shared" ref="K1056:L1059" si="128">K1057</f>
        <v>57.5</v>
      </c>
      <c r="L1056" s="17">
        <f t="shared" si="128"/>
        <v>57.5</v>
      </c>
      <c r="M1056" s="17">
        <f t="shared" si="125"/>
        <v>100</v>
      </c>
    </row>
    <row r="1057" spans="1:13" s="12" customFormat="1" ht="33" customHeight="1" x14ac:dyDescent="0.2">
      <c r="A1057" s="85"/>
      <c r="B1057" s="33" t="s">
        <v>258</v>
      </c>
      <c r="C1057" s="42">
        <v>929</v>
      </c>
      <c r="D1057" s="26" t="s">
        <v>5</v>
      </c>
      <c r="E1057" s="26" t="s">
        <v>10</v>
      </c>
      <c r="F1057" s="26" t="s">
        <v>111</v>
      </c>
      <c r="G1057" s="42"/>
      <c r="H1057" s="26"/>
      <c r="I1057" s="26"/>
      <c r="J1057" s="26"/>
      <c r="K1057" s="17">
        <f t="shared" si="128"/>
        <v>57.5</v>
      </c>
      <c r="L1057" s="17">
        <f t="shared" si="128"/>
        <v>57.5</v>
      </c>
      <c r="M1057" s="17">
        <f t="shared" si="125"/>
        <v>100</v>
      </c>
    </row>
    <row r="1058" spans="1:13" s="12" customFormat="1" ht="50.45" customHeight="1" x14ac:dyDescent="0.2">
      <c r="A1058" s="85"/>
      <c r="B1058" s="33" t="s">
        <v>259</v>
      </c>
      <c r="C1058" s="42">
        <v>929</v>
      </c>
      <c r="D1058" s="26" t="s">
        <v>5</v>
      </c>
      <c r="E1058" s="26" t="s">
        <v>10</v>
      </c>
      <c r="F1058" s="26" t="s">
        <v>111</v>
      </c>
      <c r="G1058" s="42">
        <v>2</v>
      </c>
      <c r="H1058" s="26"/>
      <c r="I1058" s="26"/>
      <c r="J1058" s="26"/>
      <c r="K1058" s="17">
        <f t="shared" si="128"/>
        <v>57.5</v>
      </c>
      <c r="L1058" s="17">
        <f t="shared" si="128"/>
        <v>57.5</v>
      </c>
      <c r="M1058" s="17">
        <f t="shared" si="125"/>
        <v>100</v>
      </c>
    </row>
    <row r="1059" spans="1:13" s="12" customFormat="1" ht="51" customHeight="1" x14ac:dyDescent="0.2">
      <c r="A1059" s="85"/>
      <c r="B1059" s="33" t="s">
        <v>191</v>
      </c>
      <c r="C1059" s="42">
        <v>929</v>
      </c>
      <c r="D1059" s="26" t="s">
        <v>5</v>
      </c>
      <c r="E1059" s="26" t="s">
        <v>10</v>
      </c>
      <c r="F1059" s="26" t="s">
        <v>111</v>
      </c>
      <c r="G1059" s="42">
        <v>2</v>
      </c>
      <c r="H1059" s="26" t="s">
        <v>2</v>
      </c>
      <c r="I1059" s="26"/>
      <c r="J1059" s="26"/>
      <c r="K1059" s="17">
        <f t="shared" si="128"/>
        <v>57.5</v>
      </c>
      <c r="L1059" s="17">
        <f t="shared" si="128"/>
        <v>57.5</v>
      </c>
      <c r="M1059" s="17">
        <f t="shared" si="125"/>
        <v>100</v>
      </c>
    </row>
    <row r="1060" spans="1:13" s="12" customFormat="1" ht="36" customHeight="1" x14ac:dyDescent="0.2">
      <c r="A1060" s="85"/>
      <c r="B1060" s="33" t="s">
        <v>192</v>
      </c>
      <c r="C1060" s="42">
        <v>929</v>
      </c>
      <c r="D1060" s="26" t="s">
        <v>5</v>
      </c>
      <c r="E1060" s="26" t="s">
        <v>10</v>
      </c>
      <c r="F1060" s="26" t="s">
        <v>111</v>
      </c>
      <c r="G1060" s="42">
        <v>2</v>
      </c>
      <c r="H1060" s="26" t="s">
        <v>2</v>
      </c>
      <c r="I1060" s="26" t="s">
        <v>195</v>
      </c>
      <c r="J1060" s="26"/>
      <c r="K1060" s="17">
        <f>K1061+K1062</f>
        <v>57.5</v>
      </c>
      <c r="L1060" s="17">
        <f>L1061+L1062</f>
        <v>57.5</v>
      </c>
      <c r="M1060" s="17">
        <f t="shared" si="125"/>
        <v>100</v>
      </c>
    </row>
    <row r="1061" spans="1:13" s="12" customFormat="1" ht="31.5" x14ac:dyDescent="0.2">
      <c r="A1061" s="85"/>
      <c r="B1061" s="33" t="s">
        <v>175</v>
      </c>
      <c r="C1061" s="42">
        <v>929</v>
      </c>
      <c r="D1061" s="26" t="s">
        <v>5</v>
      </c>
      <c r="E1061" s="26" t="s">
        <v>10</v>
      </c>
      <c r="F1061" s="26" t="s">
        <v>111</v>
      </c>
      <c r="G1061" s="42">
        <v>2</v>
      </c>
      <c r="H1061" s="26" t="s">
        <v>2</v>
      </c>
      <c r="I1061" s="26" t="s">
        <v>195</v>
      </c>
      <c r="J1061" s="26" t="s">
        <v>58</v>
      </c>
      <c r="K1061" s="17">
        <v>42.5</v>
      </c>
      <c r="L1061" s="17">
        <v>42.5</v>
      </c>
      <c r="M1061" s="17">
        <f t="shared" si="125"/>
        <v>100</v>
      </c>
    </row>
    <row r="1062" spans="1:13" s="12" customFormat="1" x14ac:dyDescent="0.2">
      <c r="A1062" s="85"/>
      <c r="B1062" s="33" t="s">
        <v>69</v>
      </c>
      <c r="C1062" s="42">
        <v>929</v>
      </c>
      <c r="D1062" s="26" t="s">
        <v>5</v>
      </c>
      <c r="E1062" s="26" t="s">
        <v>10</v>
      </c>
      <c r="F1062" s="26" t="s">
        <v>111</v>
      </c>
      <c r="G1062" s="42">
        <v>2</v>
      </c>
      <c r="H1062" s="26" t="s">
        <v>2</v>
      </c>
      <c r="I1062" s="26" t="s">
        <v>195</v>
      </c>
      <c r="J1062" s="26" t="s">
        <v>70</v>
      </c>
      <c r="K1062" s="17">
        <v>15</v>
      </c>
      <c r="L1062" s="17">
        <v>15</v>
      </c>
      <c r="M1062" s="17">
        <f t="shared" si="125"/>
        <v>100</v>
      </c>
    </row>
    <row r="1063" spans="1:13" s="12" customFormat="1" x14ac:dyDescent="0.2">
      <c r="A1063" s="85"/>
      <c r="B1063" s="33" t="s">
        <v>18</v>
      </c>
      <c r="C1063" s="42">
        <v>929</v>
      </c>
      <c r="D1063" s="26" t="s">
        <v>8</v>
      </c>
      <c r="E1063" s="26"/>
      <c r="F1063" s="26"/>
      <c r="G1063" s="42"/>
      <c r="H1063" s="26"/>
      <c r="I1063" s="26"/>
      <c r="J1063" s="26"/>
      <c r="K1063" s="17">
        <f>SUM(K1094+K1064)</f>
        <v>9</v>
      </c>
      <c r="L1063" s="17">
        <f>SUM(L1094+L1064)</f>
        <v>0</v>
      </c>
      <c r="M1063" s="17">
        <f t="shared" si="125"/>
        <v>0</v>
      </c>
    </row>
    <row r="1064" spans="1:13" s="12" customFormat="1" ht="22.9" customHeight="1" x14ac:dyDescent="0.2">
      <c r="A1064" s="85"/>
      <c r="B1064" s="33" t="s">
        <v>219</v>
      </c>
      <c r="C1064" s="42">
        <v>929</v>
      </c>
      <c r="D1064" s="26" t="s">
        <v>8</v>
      </c>
      <c r="E1064" s="26" t="s">
        <v>5</v>
      </c>
      <c r="F1064" s="26"/>
      <c r="G1064" s="42"/>
      <c r="H1064" s="26"/>
      <c r="I1064" s="26"/>
      <c r="J1064" s="26"/>
      <c r="K1064" s="17">
        <f>SUM(K1070+K1085+K1065)</f>
        <v>0</v>
      </c>
      <c r="L1064" s="17">
        <f>SUM(L1070+L1085+L1065)</f>
        <v>0</v>
      </c>
      <c r="M1064" s="17"/>
    </row>
    <row r="1065" spans="1:13" s="12" customFormat="1" ht="31.5" x14ac:dyDescent="0.2">
      <c r="A1065" s="85"/>
      <c r="B1065" s="50" t="s">
        <v>352</v>
      </c>
      <c r="C1065" s="42">
        <v>929</v>
      </c>
      <c r="D1065" s="26" t="s">
        <v>8</v>
      </c>
      <c r="E1065" s="26" t="s">
        <v>5</v>
      </c>
      <c r="F1065" s="26" t="s">
        <v>4</v>
      </c>
      <c r="G1065" s="42"/>
      <c r="H1065" s="26"/>
      <c r="I1065" s="26"/>
      <c r="J1065" s="26"/>
      <c r="K1065" s="17">
        <f t="shared" ref="K1065:L1068" si="129">SUM(K1066)</f>
        <v>0</v>
      </c>
      <c r="L1065" s="17">
        <f t="shared" si="129"/>
        <v>0</v>
      </c>
      <c r="M1065" s="17"/>
    </row>
    <row r="1066" spans="1:13" s="12" customFormat="1" ht="31.5" x14ac:dyDescent="0.2">
      <c r="A1066" s="85"/>
      <c r="B1066" s="50" t="s">
        <v>146</v>
      </c>
      <c r="C1066" s="42">
        <v>929</v>
      </c>
      <c r="D1066" s="26" t="s">
        <v>8</v>
      </c>
      <c r="E1066" s="26" t="s">
        <v>5</v>
      </c>
      <c r="F1066" s="26" t="s">
        <v>4</v>
      </c>
      <c r="G1066" s="42">
        <v>1</v>
      </c>
      <c r="H1066" s="26"/>
      <c r="I1066" s="26"/>
      <c r="J1066" s="26"/>
      <c r="K1066" s="17">
        <f t="shared" si="129"/>
        <v>0</v>
      </c>
      <c r="L1066" s="17">
        <f t="shared" si="129"/>
        <v>0</v>
      </c>
      <c r="M1066" s="17"/>
    </row>
    <row r="1067" spans="1:13" s="12" customFormat="1" ht="68.45" customHeight="1" x14ac:dyDescent="0.2">
      <c r="A1067" s="85"/>
      <c r="B1067" s="50" t="s">
        <v>147</v>
      </c>
      <c r="C1067" s="42">
        <v>929</v>
      </c>
      <c r="D1067" s="26" t="s">
        <v>8</v>
      </c>
      <c r="E1067" s="26" t="s">
        <v>5</v>
      </c>
      <c r="F1067" s="26" t="s">
        <v>4</v>
      </c>
      <c r="G1067" s="42">
        <v>1</v>
      </c>
      <c r="H1067" s="26" t="s">
        <v>2</v>
      </c>
      <c r="I1067" s="26"/>
      <c r="J1067" s="26"/>
      <c r="K1067" s="17">
        <f t="shared" si="129"/>
        <v>0</v>
      </c>
      <c r="L1067" s="17">
        <f t="shared" si="129"/>
        <v>0</v>
      </c>
      <c r="M1067" s="17"/>
    </row>
    <row r="1068" spans="1:13" s="12" customFormat="1" ht="49.9" customHeight="1" x14ac:dyDescent="0.2">
      <c r="A1068" s="85"/>
      <c r="B1068" s="50" t="s">
        <v>400</v>
      </c>
      <c r="C1068" s="42">
        <v>929</v>
      </c>
      <c r="D1068" s="26" t="s">
        <v>8</v>
      </c>
      <c r="E1068" s="26" t="s">
        <v>5</v>
      </c>
      <c r="F1068" s="26" t="s">
        <v>4</v>
      </c>
      <c r="G1068" s="42">
        <v>1</v>
      </c>
      <c r="H1068" s="26" t="s">
        <v>2</v>
      </c>
      <c r="I1068" s="26" t="s">
        <v>351</v>
      </c>
      <c r="J1068" s="26"/>
      <c r="K1068" s="17">
        <f t="shared" si="129"/>
        <v>0</v>
      </c>
      <c r="L1068" s="17">
        <f t="shared" si="129"/>
        <v>0</v>
      </c>
      <c r="M1068" s="17"/>
    </row>
    <row r="1069" spans="1:13" s="12" customFormat="1" ht="37.9" customHeight="1" x14ac:dyDescent="0.2">
      <c r="A1069" s="85"/>
      <c r="B1069" s="33" t="s">
        <v>353</v>
      </c>
      <c r="C1069" s="42">
        <v>929</v>
      </c>
      <c r="D1069" s="26" t="s">
        <v>8</v>
      </c>
      <c r="E1069" s="26" t="s">
        <v>5</v>
      </c>
      <c r="F1069" s="26" t="s">
        <v>4</v>
      </c>
      <c r="G1069" s="42">
        <v>1</v>
      </c>
      <c r="H1069" s="26" t="s">
        <v>2</v>
      </c>
      <c r="I1069" s="26" t="s">
        <v>351</v>
      </c>
      <c r="J1069" s="26" t="s">
        <v>77</v>
      </c>
      <c r="K1069" s="17">
        <v>0</v>
      </c>
      <c r="L1069" s="17">
        <v>0</v>
      </c>
      <c r="M1069" s="17"/>
    </row>
    <row r="1070" spans="1:13" s="12" customFormat="1" ht="32.450000000000003" customHeight="1" x14ac:dyDescent="0.2">
      <c r="A1070" s="85"/>
      <c r="B1070" s="50" t="s">
        <v>296</v>
      </c>
      <c r="C1070" s="42">
        <v>929</v>
      </c>
      <c r="D1070" s="26" t="s">
        <v>8</v>
      </c>
      <c r="E1070" s="26" t="s">
        <v>5</v>
      </c>
      <c r="F1070" s="26" t="s">
        <v>7</v>
      </c>
      <c r="G1070" s="42"/>
      <c r="H1070" s="26"/>
      <c r="I1070" s="26"/>
      <c r="J1070" s="26"/>
      <c r="K1070" s="17">
        <f>SUM(K1075+K1071)</f>
        <v>0</v>
      </c>
      <c r="L1070" s="17">
        <f>SUM(L1075+L1071)</f>
        <v>0</v>
      </c>
      <c r="M1070" s="17"/>
    </row>
    <row r="1071" spans="1:13" s="12" customFormat="1" ht="52.9" customHeight="1" x14ac:dyDescent="0.2">
      <c r="A1071" s="85"/>
      <c r="B1071" s="50" t="s">
        <v>302</v>
      </c>
      <c r="C1071" s="42">
        <v>929</v>
      </c>
      <c r="D1071" s="26" t="s">
        <v>8</v>
      </c>
      <c r="E1071" s="26" t="s">
        <v>5</v>
      </c>
      <c r="F1071" s="26" t="s">
        <v>7</v>
      </c>
      <c r="G1071" s="42">
        <v>1</v>
      </c>
      <c r="H1071" s="26"/>
      <c r="I1071" s="26"/>
      <c r="J1071" s="26"/>
      <c r="K1071" s="17">
        <f t="shared" ref="K1071:L1073" si="130">SUM(K1072)</f>
        <v>0</v>
      </c>
      <c r="L1071" s="17">
        <f t="shared" si="130"/>
        <v>0</v>
      </c>
      <c r="M1071" s="17"/>
    </row>
    <row r="1072" spans="1:13" s="12" customFormat="1" ht="32.450000000000003" customHeight="1" x14ac:dyDescent="0.2">
      <c r="A1072" s="85"/>
      <c r="B1072" s="50" t="s">
        <v>528</v>
      </c>
      <c r="C1072" s="42">
        <v>929</v>
      </c>
      <c r="D1072" s="26" t="s">
        <v>8</v>
      </c>
      <c r="E1072" s="26" t="s">
        <v>5</v>
      </c>
      <c r="F1072" s="26" t="s">
        <v>7</v>
      </c>
      <c r="G1072" s="42">
        <v>1</v>
      </c>
      <c r="H1072" s="26" t="s">
        <v>4</v>
      </c>
      <c r="I1072" s="26"/>
      <c r="J1072" s="26"/>
      <c r="K1072" s="17">
        <f t="shared" si="130"/>
        <v>0</v>
      </c>
      <c r="L1072" s="17">
        <f t="shared" si="130"/>
        <v>0</v>
      </c>
      <c r="M1072" s="17"/>
    </row>
    <row r="1073" spans="1:25" s="12" customFormat="1" x14ac:dyDescent="0.2">
      <c r="A1073" s="85"/>
      <c r="B1073" s="50" t="s">
        <v>522</v>
      </c>
      <c r="C1073" s="42">
        <v>929</v>
      </c>
      <c r="D1073" s="26" t="s">
        <v>8</v>
      </c>
      <c r="E1073" s="26" t="s">
        <v>5</v>
      </c>
      <c r="F1073" s="26" t="s">
        <v>7</v>
      </c>
      <c r="G1073" s="42">
        <v>1</v>
      </c>
      <c r="H1073" s="26" t="s">
        <v>4</v>
      </c>
      <c r="I1073" s="26" t="s">
        <v>521</v>
      </c>
      <c r="J1073" s="26"/>
      <c r="K1073" s="17">
        <f t="shared" si="130"/>
        <v>0</v>
      </c>
      <c r="L1073" s="17">
        <f t="shared" si="130"/>
        <v>0</v>
      </c>
      <c r="M1073" s="17"/>
    </row>
    <row r="1074" spans="1:25" s="12" customFormat="1" ht="36" customHeight="1" x14ac:dyDescent="0.2">
      <c r="A1074" s="85"/>
      <c r="B1074" s="33" t="s">
        <v>353</v>
      </c>
      <c r="C1074" s="42">
        <v>929</v>
      </c>
      <c r="D1074" s="26" t="s">
        <v>8</v>
      </c>
      <c r="E1074" s="26" t="s">
        <v>5</v>
      </c>
      <c r="F1074" s="26" t="s">
        <v>7</v>
      </c>
      <c r="G1074" s="42">
        <v>1</v>
      </c>
      <c r="H1074" s="26" t="s">
        <v>4</v>
      </c>
      <c r="I1074" s="26" t="s">
        <v>521</v>
      </c>
      <c r="J1074" s="26" t="s">
        <v>77</v>
      </c>
      <c r="K1074" s="17">
        <v>0</v>
      </c>
      <c r="L1074" s="17">
        <v>0</v>
      </c>
      <c r="M1074" s="17"/>
    </row>
    <row r="1075" spans="1:25" s="12" customFormat="1" ht="18.600000000000001" customHeight="1" x14ac:dyDescent="0.2">
      <c r="A1075" s="85"/>
      <c r="B1075" s="58" t="s">
        <v>297</v>
      </c>
      <c r="C1075" s="42">
        <v>929</v>
      </c>
      <c r="D1075" s="26" t="s">
        <v>8</v>
      </c>
      <c r="E1075" s="26" t="s">
        <v>5</v>
      </c>
      <c r="F1075" s="26" t="s">
        <v>7</v>
      </c>
      <c r="G1075" s="42">
        <v>2</v>
      </c>
      <c r="H1075" s="26"/>
      <c r="I1075" s="26"/>
      <c r="J1075" s="26"/>
      <c r="K1075" s="17">
        <f>SUM(K1076)</f>
        <v>0</v>
      </c>
      <c r="L1075" s="17">
        <f>SUM(L1076)</f>
        <v>0</v>
      </c>
      <c r="M1075" s="17"/>
    </row>
    <row r="1076" spans="1:25" s="12" customFormat="1" ht="31.5" x14ac:dyDescent="0.2">
      <c r="A1076" s="85"/>
      <c r="B1076" s="58" t="s">
        <v>167</v>
      </c>
      <c r="C1076" s="42">
        <v>929</v>
      </c>
      <c r="D1076" s="26" t="s">
        <v>8</v>
      </c>
      <c r="E1076" s="26" t="s">
        <v>5</v>
      </c>
      <c r="F1076" s="26" t="s">
        <v>7</v>
      </c>
      <c r="G1076" s="42">
        <v>2</v>
      </c>
      <c r="H1076" s="26" t="s">
        <v>2</v>
      </c>
      <c r="I1076" s="26"/>
      <c r="J1076" s="26"/>
      <c r="K1076" s="17">
        <f>SUM(K1077+K1083+K1081+K1079)</f>
        <v>0</v>
      </c>
      <c r="L1076" s="17">
        <f>SUM(L1077+L1083+L1081+L1079)</f>
        <v>0</v>
      </c>
      <c r="M1076" s="17"/>
    </row>
    <row r="1077" spans="1:25" s="12" customFormat="1" ht="63" x14ac:dyDescent="0.2">
      <c r="A1077" s="85"/>
      <c r="B1077" s="33" t="s">
        <v>88</v>
      </c>
      <c r="C1077" s="42">
        <v>929</v>
      </c>
      <c r="D1077" s="26" t="s">
        <v>8</v>
      </c>
      <c r="E1077" s="26" t="s">
        <v>5</v>
      </c>
      <c r="F1077" s="26" t="s">
        <v>7</v>
      </c>
      <c r="G1077" s="42">
        <v>2</v>
      </c>
      <c r="H1077" s="26" t="s">
        <v>2</v>
      </c>
      <c r="I1077" s="26" t="s">
        <v>116</v>
      </c>
      <c r="J1077" s="26"/>
      <c r="K1077" s="17">
        <f>SUM(K1078)</f>
        <v>0</v>
      </c>
      <c r="L1077" s="17">
        <f>SUM(L1078)</f>
        <v>0</v>
      </c>
      <c r="M1077" s="17"/>
    </row>
    <row r="1078" spans="1:25" s="12" customFormat="1" ht="34.9" customHeight="1" x14ac:dyDescent="0.2">
      <c r="A1078" s="85"/>
      <c r="B1078" s="33" t="s">
        <v>353</v>
      </c>
      <c r="C1078" s="42">
        <v>929</v>
      </c>
      <c r="D1078" s="26" t="s">
        <v>8</v>
      </c>
      <c r="E1078" s="26" t="s">
        <v>5</v>
      </c>
      <c r="F1078" s="26" t="s">
        <v>7</v>
      </c>
      <c r="G1078" s="42">
        <v>2</v>
      </c>
      <c r="H1078" s="26" t="s">
        <v>2</v>
      </c>
      <c r="I1078" s="26" t="s">
        <v>116</v>
      </c>
      <c r="J1078" s="26" t="s">
        <v>77</v>
      </c>
      <c r="K1078" s="17">
        <v>0</v>
      </c>
      <c r="L1078" s="17">
        <v>0</v>
      </c>
      <c r="M1078" s="17"/>
    </row>
    <row r="1079" spans="1:25" s="12" customFormat="1" ht="21.6" customHeight="1" x14ac:dyDescent="0.2">
      <c r="A1079" s="85"/>
      <c r="B1079" s="33" t="s">
        <v>522</v>
      </c>
      <c r="C1079" s="42">
        <v>929</v>
      </c>
      <c r="D1079" s="26" t="s">
        <v>8</v>
      </c>
      <c r="E1079" s="26" t="s">
        <v>5</v>
      </c>
      <c r="F1079" s="26" t="s">
        <v>7</v>
      </c>
      <c r="G1079" s="42">
        <v>2</v>
      </c>
      <c r="H1079" s="26" t="s">
        <v>2</v>
      </c>
      <c r="I1079" s="26" t="s">
        <v>521</v>
      </c>
      <c r="J1079" s="26"/>
      <c r="K1079" s="17">
        <f>SUM(K1080)</f>
        <v>0</v>
      </c>
      <c r="L1079" s="17">
        <f>SUM(L1080)</f>
        <v>0</v>
      </c>
      <c r="M1079" s="17"/>
    </row>
    <row r="1080" spans="1:25" s="12" customFormat="1" ht="33" customHeight="1" x14ac:dyDescent="0.2">
      <c r="A1080" s="85"/>
      <c r="B1080" s="33" t="s">
        <v>353</v>
      </c>
      <c r="C1080" s="42">
        <v>929</v>
      </c>
      <c r="D1080" s="26" t="s">
        <v>8</v>
      </c>
      <c r="E1080" s="26" t="s">
        <v>5</v>
      </c>
      <c r="F1080" s="26" t="s">
        <v>7</v>
      </c>
      <c r="G1080" s="42">
        <v>2</v>
      </c>
      <c r="H1080" s="26" t="s">
        <v>2</v>
      </c>
      <c r="I1080" s="26" t="s">
        <v>521</v>
      </c>
      <c r="J1080" s="26" t="s">
        <v>77</v>
      </c>
      <c r="K1080" s="17">
        <v>0</v>
      </c>
      <c r="L1080" s="17">
        <v>0</v>
      </c>
      <c r="M1080" s="17"/>
    </row>
    <row r="1081" spans="1:25" s="12" customFormat="1" ht="52.15" customHeight="1" x14ac:dyDescent="0.2">
      <c r="A1081" s="85"/>
      <c r="B1081" s="33" t="s">
        <v>577</v>
      </c>
      <c r="C1081" s="42">
        <v>929</v>
      </c>
      <c r="D1081" s="26" t="s">
        <v>8</v>
      </c>
      <c r="E1081" s="26" t="s">
        <v>5</v>
      </c>
      <c r="F1081" s="26" t="s">
        <v>7</v>
      </c>
      <c r="G1081" s="42">
        <v>2</v>
      </c>
      <c r="H1081" s="26" t="s">
        <v>2</v>
      </c>
      <c r="I1081" s="26" t="s">
        <v>227</v>
      </c>
      <c r="J1081" s="26"/>
      <c r="K1081" s="17">
        <f>SUM(K1082)</f>
        <v>0</v>
      </c>
      <c r="L1081" s="17">
        <f>SUM(L1082)</f>
        <v>0</v>
      </c>
      <c r="M1081" s="17"/>
    </row>
    <row r="1082" spans="1:25" s="12" customFormat="1" ht="33" customHeight="1" x14ac:dyDescent="0.2">
      <c r="A1082" s="85"/>
      <c r="B1082" s="33" t="s">
        <v>353</v>
      </c>
      <c r="C1082" s="42">
        <v>929</v>
      </c>
      <c r="D1082" s="26" t="s">
        <v>8</v>
      </c>
      <c r="E1082" s="26" t="s">
        <v>5</v>
      </c>
      <c r="F1082" s="26" t="s">
        <v>7</v>
      </c>
      <c r="G1082" s="42">
        <v>2</v>
      </c>
      <c r="H1082" s="26" t="s">
        <v>2</v>
      </c>
      <c r="I1082" s="26" t="s">
        <v>227</v>
      </c>
      <c r="J1082" s="26" t="s">
        <v>77</v>
      </c>
      <c r="K1082" s="17">
        <v>0</v>
      </c>
      <c r="L1082" s="17">
        <v>0</v>
      </c>
      <c r="M1082" s="17"/>
    </row>
    <row r="1083" spans="1:25" s="12" customFormat="1" ht="63" x14ac:dyDescent="0.2">
      <c r="A1083" s="85"/>
      <c r="B1083" s="33" t="s">
        <v>213</v>
      </c>
      <c r="C1083" s="42">
        <v>929</v>
      </c>
      <c r="D1083" s="26" t="s">
        <v>8</v>
      </c>
      <c r="E1083" s="26" t="s">
        <v>5</v>
      </c>
      <c r="F1083" s="26" t="s">
        <v>7</v>
      </c>
      <c r="G1083" s="42">
        <v>2</v>
      </c>
      <c r="H1083" s="26" t="s">
        <v>2</v>
      </c>
      <c r="I1083" s="26" t="s">
        <v>212</v>
      </c>
      <c r="J1083" s="26"/>
      <c r="K1083" s="17">
        <f>SUM(K1084)</f>
        <v>0</v>
      </c>
      <c r="L1083" s="17">
        <f>SUM(L1084)</f>
        <v>0</v>
      </c>
      <c r="M1083" s="17"/>
    </row>
    <row r="1084" spans="1:25" s="12" customFormat="1" ht="34.15" customHeight="1" x14ac:dyDescent="0.2">
      <c r="A1084" s="85"/>
      <c r="B1084" s="33" t="s">
        <v>353</v>
      </c>
      <c r="C1084" s="42">
        <v>929</v>
      </c>
      <c r="D1084" s="26" t="s">
        <v>8</v>
      </c>
      <c r="E1084" s="26" t="s">
        <v>5</v>
      </c>
      <c r="F1084" s="26" t="s">
        <v>7</v>
      </c>
      <c r="G1084" s="42">
        <v>2</v>
      </c>
      <c r="H1084" s="26" t="s">
        <v>2</v>
      </c>
      <c r="I1084" s="26" t="s">
        <v>212</v>
      </c>
      <c r="J1084" s="26" t="s">
        <v>77</v>
      </c>
      <c r="K1084" s="17">
        <v>0</v>
      </c>
      <c r="L1084" s="17">
        <v>0</v>
      </c>
      <c r="M1084" s="17"/>
    </row>
    <row r="1085" spans="1:25" s="12" customFormat="1" ht="48.6" customHeight="1" x14ac:dyDescent="0.2">
      <c r="A1085" s="85"/>
      <c r="B1085" s="50" t="s">
        <v>216</v>
      </c>
      <c r="C1085" s="42">
        <v>929</v>
      </c>
      <c r="D1085" s="26" t="s">
        <v>8</v>
      </c>
      <c r="E1085" s="26" t="s">
        <v>5</v>
      </c>
      <c r="F1085" s="26" t="s">
        <v>41</v>
      </c>
      <c r="G1085" s="42"/>
      <c r="H1085" s="26"/>
      <c r="I1085" s="26"/>
      <c r="J1085" s="26"/>
      <c r="K1085" s="17">
        <f>SUM(K1090+K1086)</f>
        <v>0</v>
      </c>
      <c r="L1085" s="17">
        <f>SUM(L1090+L1086)</f>
        <v>0</v>
      </c>
      <c r="M1085" s="17"/>
    </row>
    <row r="1086" spans="1:25" s="12" customFormat="1" ht="18" customHeight="1" x14ac:dyDescent="0.2">
      <c r="A1086" s="85"/>
      <c r="B1086" s="50" t="s">
        <v>277</v>
      </c>
      <c r="C1086" s="42">
        <v>929</v>
      </c>
      <c r="D1086" s="26" t="s">
        <v>8</v>
      </c>
      <c r="E1086" s="26" t="s">
        <v>5</v>
      </c>
      <c r="F1086" s="26" t="s">
        <v>41</v>
      </c>
      <c r="G1086" s="42">
        <v>2</v>
      </c>
      <c r="H1086" s="26"/>
      <c r="I1086" s="26"/>
      <c r="J1086" s="26"/>
      <c r="K1086" s="17">
        <f t="shared" ref="K1086:L1088" si="131">SUM(K1087)</f>
        <v>0</v>
      </c>
      <c r="L1086" s="17">
        <f t="shared" si="131"/>
        <v>0</v>
      </c>
      <c r="M1086" s="17"/>
      <c r="Y1086" s="11"/>
    </row>
    <row r="1087" spans="1:25" s="12" customFormat="1" ht="36" customHeight="1" x14ac:dyDescent="0.2">
      <c r="A1087" s="85"/>
      <c r="B1087" s="50" t="s">
        <v>355</v>
      </c>
      <c r="C1087" s="42">
        <v>929</v>
      </c>
      <c r="D1087" s="26" t="s">
        <v>8</v>
      </c>
      <c r="E1087" s="26" t="s">
        <v>5</v>
      </c>
      <c r="F1087" s="26" t="s">
        <v>41</v>
      </c>
      <c r="G1087" s="42">
        <v>2</v>
      </c>
      <c r="H1087" s="26" t="s">
        <v>4</v>
      </c>
      <c r="I1087" s="26"/>
      <c r="J1087" s="26"/>
      <c r="K1087" s="17">
        <f t="shared" si="131"/>
        <v>0</v>
      </c>
      <c r="L1087" s="17">
        <f t="shared" si="131"/>
        <v>0</v>
      </c>
      <c r="M1087" s="17"/>
    </row>
    <row r="1088" spans="1:25" s="12" customFormat="1" ht="66.599999999999994" customHeight="1" x14ac:dyDescent="0.2">
      <c r="A1088" s="85"/>
      <c r="B1088" s="50" t="s">
        <v>578</v>
      </c>
      <c r="C1088" s="42">
        <v>929</v>
      </c>
      <c r="D1088" s="26" t="s">
        <v>8</v>
      </c>
      <c r="E1088" s="26" t="s">
        <v>5</v>
      </c>
      <c r="F1088" s="26" t="s">
        <v>41</v>
      </c>
      <c r="G1088" s="42">
        <v>2</v>
      </c>
      <c r="H1088" s="26" t="s">
        <v>4</v>
      </c>
      <c r="I1088" s="26" t="s">
        <v>354</v>
      </c>
      <c r="J1088" s="26"/>
      <c r="K1088" s="17">
        <f t="shared" si="131"/>
        <v>0</v>
      </c>
      <c r="L1088" s="17">
        <f t="shared" si="131"/>
        <v>0</v>
      </c>
      <c r="M1088" s="17"/>
    </row>
    <row r="1089" spans="1:13" s="12" customFormat="1" ht="33" customHeight="1" x14ac:dyDescent="0.2">
      <c r="A1089" s="85"/>
      <c r="B1089" s="33" t="s">
        <v>353</v>
      </c>
      <c r="C1089" s="42">
        <v>929</v>
      </c>
      <c r="D1089" s="26" t="s">
        <v>8</v>
      </c>
      <c r="E1089" s="26" t="s">
        <v>5</v>
      </c>
      <c r="F1089" s="26" t="s">
        <v>41</v>
      </c>
      <c r="G1089" s="42">
        <v>2</v>
      </c>
      <c r="H1089" s="26" t="s">
        <v>4</v>
      </c>
      <c r="I1089" s="26" t="s">
        <v>354</v>
      </c>
      <c r="J1089" s="26" t="s">
        <v>77</v>
      </c>
      <c r="K1089" s="17">
        <v>0</v>
      </c>
      <c r="L1089" s="17">
        <v>0</v>
      </c>
      <c r="M1089" s="17"/>
    </row>
    <row r="1090" spans="1:13" s="12" customFormat="1" ht="37.15" customHeight="1" x14ac:dyDescent="0.2">
      <c r="A1090" s="85"/>
      <c r="B1090" s="50" t="s">
        <v>217</v>
      </c>
      <c r="C1090" s="42">
        <v>929</v>
      </c>
      <c r="D1090" s="26" t="s">
        <v>8</v>
      </c>
      <c r="E1090" s="26" t="s">
        <v>5</v>
      </c>
      <c r="F1090" s="13" t="s">
        <v>41</v>
      </c>
      <c r="G1090" s="13" t="s">
        <v>204</v>
      </c>
      <c r="H1090" s="13"/>
      <c r="I1090" s="13"/>
      <c r="J1090" s="26"/>
      <c r="K1090" s="17">
        <f t="shared" ref="K1090:L1092" si="132">SUM(K1091)</f>
        <v>0</v>
      </c>
      <c r="L1090" s="17">
        <f t="shared" si="132"/>
        <v>0</v>
      </c>
      <c r="M1090" s="17"/>
    </row>
    <row r="1091" spans="1:13" s="12" customFormat="1" ht="49.15" customHeight="1" x14ac:dyDescent="0.2">
      <c r="A1091" s="85"/>
      <c r="B1091" s="50" t="s">
        <v>203</v>
      </c>
      <c r="C1091" s="42">
        <v>929</v>
      </c>
      <c r="D1091" s="26" t="s">
        <v>8</v>
      </c>
      <c r="E1091" s="26" t="s">
        <v>5</v>
      </c>
      <c r="F1091" s="13" t="s">
        <v>41</v>
      </c>
      <c r="G1091" s="13" t="s">
        <v>204</v>
      </c>
      <c r="H1091" s="13" t="s">
        <v>2</v>
      </c>
      <c r="I1091" s="13"/>
      <c r="J1091" s="26"/>
      <c r="K1091" s="17">
        <f t="shared" si="132"/>
        <v>0</v>
      </c>
      <c r="L1091" s="17">
        <f t="shared" si="132"/>
        <v>0</v>
      </c>
      <c r="M1091" s="17"/>
    </row>
    <row r="1092" spans="1:13" s="12" customFormat="1" ht="81" customHeight="1" x14ac:dyDescent="0.2">
      <c r="A1092" s="85"/>
      <c r="B1092" s="50" t="s">
        <v>285</v>
      </c>
      <c r="C1092" s="42">
        <v>929</v>
      </c>
      <c r="D1092" s="26" t="s">
        <v>8</v>
      </c>
      <c r="E1092" s="26" t="s">
        <v>5</v>
      </c>
      <c r="F1092" s="13" t="s">
        <v>41</v>
      </c>
      <c r="G1092" s="13" t="s">
        <v>204</v>
      </c>
      <c r="H1092" s="13" t="s">
        <v>2</v>
      </c>
      <c r="I1092" s="13" t="s">
        <v>226</v>
      </c>
      <c r="J1092" s="26"/>
      <c r="K1092" s="17">
        <f t="shared" si="132"/>
        <v>0</v>
      </c>
      <c r="L1092" s="17">
        <f t="shared" si="132"/>
        <v>0</v>
      </c>
      <c r="M1092" s="17"/>
    </row>
    <row r="1093" spans="1:13" s="12" customFormat="1" ht="31.9" customHeight="1" x14ac:dyDescent="0.2">
      <c r="A1093" s="85"/>
      <c r="B1093" s="33" t="s">
        <v>76</v>
      </c>
      <c r="C1093" s="42">
        <v>929</v>
      </c>
      <c r="D1093" s="26" t="s">
        <v>8</v>
      </c>
      <c r="E1093" s="26" t="s">
        <v>5</v>
      </c>
      <c r="F1093" s="13" t="s">
        <v>41</v>
      </c>
      <c r="G1093" s="13" t="s">
        <v>204</v>
      </c>
      <c r="H1093" s="13" t="s">
        <v>2</v>
      </c>
      <c r="I1093" s="13" t="s">
        <v>226</v>
      </c>
      <c r="J1093" s="26" t="s">
        <v>77</v>
      </c>
      <c r="K1093" s="17">
        <v>0</v>
      </c>
      <c r="L1093" s="17">
        <v>0</v>
      </c>
      <c r="M1093" s="17"/>
    </row>
    <row r="1094" spans="1:13" s="12" customFormat="1" ht="34.15" customHeight="1" x14ac:dyDescent="0.2">
      <c r="A1094" s="85"/>
      <c r="B1094" s="33" t="s">
        <v>457</v>
      </c>
      <c r="C1094" s="42">
        <v>929</v>
      </c>
      <c r="D1094" s="26" t="s">
        <v>8</v>
      </c>
      <c r="E1094" s="13" t="s">
        <v>7</v>
      </c>
      <c r="F1094" s="13"/>
      <c r="G1094" s="13"/>
      <c r="H1094" s="13"/>
      <c r="I1094" s="13"/>
      <c r="J1094" s="26"/>
      <c r="K1094" s="17">
        <f t="shared" ref="K1094:L1097" si="133">SUM(K1095)</f>
        <v>9</v>
      </c>
      <c r="L1094" s="17">
        <f t="shared" si="133"/>
        <v>0</v>
      </c>
      <c r="M1094" s="17">
        <f t="shared" si="125"/>
        <v>0</v>
      </c>
    </row>
    <row r="1095" spans="1:13" s="12" customFormat="1" ht="36" customHeight="1" x14ac:dyDescent="0.2">
      <c r="A1095" s="85"/>
      <c r="B1095" s="68" t="s">
        <v>296</v>
      </c>
      <c r="C1095" s="42">
        <v>929</v>
      </c>
      <c r="D1095" s="13" t="s">
        <v>8</v>
      </c>
      <c r="E1095" s="13" t="s">
        <v>7</v>
      </c>
      <c r="F1095" s="13" t="s">
        <v>7</v>
      </c>
      <c r="G1095" s="13"/>
      <c r="H1095" s="13"/>
      <c r="I1095" s="13"/>
      <c r="J1095" s="26"/>
      <c r="K1095" s="17">
        <f t="shared" si="133"/>
        <v>9</v>
      </c>
      <c r="L1095" s="17">
        <f t="shared" si="133"/>
        <v>0</v>
      </c>
      <c r="M1095" s="17">
        <f t="shared" si="125"/>
        <v>0</v>
      </c>
    </row>
    <row r="1096" spans="1:13" s="12" customFormat="1" ht="52.15" customHeight="1" x14ac:dyDescent="0.2">
      <c r="A1096" s="85"/>
      <c r="B1096" s="68" t="s">
        <v>302</v>
      </c>
      <c r="C1096" s="42">
        <v>929</v>
      </c>
      <c r="D1096" s="13" t="s">
        <v>8</v>
      </c>
      <c r="E1096" s="13" t="s">
        <v>7</v>
      </c>
      <c r="F1096" s="13" t="s">
        <v>7</v>
      </c>
      <c r="G1096" s="13" t="s">
        <v>126</v>
      </c>
      <c r="H1096" s="13"/>
      <c r="I1096" s="13"/>
      <c r="J1096" s="26"/>
      <c r="K1096" s="17">
        <f t="shared" si="133"/>
        <v>9</v>
      </c>
      <c r="L1096" s="17">
        <f t="shared" si="133"/>
        <v>0</v>
      </c>
      <c r="M1096" s="17">
        <f t="shared" si="125"/>
        <v>0</v>
      </c>
    </row>
    <row r="1097" spans="1:13" s="12" customFormat="1" ht="49.9" customHeight="1" x14ac:dyDescent="0.2">
      <c r="A1097" s="85"/>
      <c r="B1097" s="68" t="s">
        <v>170</v>
      </c>
      <c r="C1097" s="42">
        <v>929</v>
      </c>
      <c r="D1097" s="13" t="s">
        <v>8</v>
      </c>
      <c r="E1097" s="13" t="s">
        <v>7</v>
      </c>
      <c r="F1097" s="13" t="s">
        <v>7</v>
      </c>
      <c r="G1097" s="13" t="s">
        <v>126</v>
      </c>
      <c r="H1097" s="13" t="s">
        <v>2</v>
      </c>
      <c r="I1097" s="13"/>
      <c r="J1097" s="26"/>
      <c r="K1097" s="17">
        <f t="shared" si="133"/>
        <v>9</v>
      </c>
      <c r="L1097" s="17">
        <f t="shared" si="133"/>
        <v>0</v>
      </c>
      <c r="M1097" s="17">
        <f t="shared" si="125"/>
        <v>0</v>
      </c>
    </row>
    <row r="1098" spans="1:13" s="12" customFormat="1" ht="33.6" customHeight="1" x14ac:dyDescent="0.2">
      <c r="A1098" s="85"/>
      <c r="B1098" s="33" t="s">
        <v>459</v>
      </c>
      <c r="C1098" s="42">
        <v>929</v>
      </c>
      <c r="D1098" s="13" t="s">
        <v>8</v>
      </c>
      <c r="E1098" s="13" t="s">
        <v>7</v>
      </c>
      <c r="F1098" s="13" t="s">
        <v>7</v>
      </c>
      <c r="G1098" s="13" t="s">
        <v>126</v>
      </c>
      <c r="H1098" s="13" t="s">
        <v>2</v>
      </c>
      <c r="I1098" s="13" t="s">
        <v>458</v>
      </c>
      <c r="J1098" s="26"/>
      <c r="K1098" s="17">
        <f>SUM(K1099)</f>
        <v>9</v>
      </c>
      <c r="L1098" s="17">
        <f>SUM(L1099)</f>
        <v>0</v>
      </c>
      <c r="M1098" s="17">
        <f t="shared" si="125"/>
        <v>0</v>
      </c>
    </row>
    <row r="1099" spans="1:13" s="12" customFormat="1" ht="33" customHeight="1" x14ac:dyDescent="0.2">
      <c r="A1099" s="85"/>
      <c r="B1099" s="33" t="s">
        <v>175</v>
      </c>
      <c r="C1099" s="42">
        <v>929</v>
      </c>
      <c r="D1099" s="13" t="s">
        <v>8</v>
      </c>
      <c r="E1099" s="13" t="s">
        <v>7</v>
      </c>
      <c r="F1099" s="13" t="s">
        <v>7</v>
      </c>
      <c r="G1099" s="13" t="s">
        <v>126</v>
      </c>
      <c r="H1099" s="13" t="s">
        <v>2</v>
      </c>
      <c r="I1099" s="13" t="s">
        <v>458</v>
      </c>
      <c r="J1099" s="26" t="s">
        <v>58</v>
      </c>
      <c r="K1099" s="17">
        <v>9</v>
      </c>
      <c r="L1099" s="17">
        <v>0</v>
      </c>
      <c r="M1099" s="17">
        <f t="shared" si="125"/>
        <v>0</v>
      </c>
    </row>
    <row r="1100" spans="1:13" s="12" customFormat="1" ht="22.9" customHeight="1" x14ac:dyDescent="0.2">
      <c r="A1100" s="85"/>
      <c r="B1100" s="68" t="s">
        <v>79</v>
      </c>
      <c r="C1100" s="26" t="s">
        <v>31</v>
      </c>
      <c r="D1100" s="13" t="s">
        <v>23</v>
      </c>
      <c r="E1100" s="13"/>
      <c r="F1100" s="13"/>
      <c r="G1100" s="13"/>
      <c r="H1100" s="13"/>
      <c r="I1100" s="13"/>
      <c r="J1100" s="13"/>
      <c r="K1100" s="17">
        <f>SUM(K1101+K1166)</f>
        <v>218811.69999999995</v>
      </c>
      <c r="L1100" s="17">
        <f>SUM(L1101+L1166)</f>
        <v>161590.5</v>
      </c>
      <c r="M1100" s="17">
        <f t="shared" si="125"/>
        <v>73.849113187274739</v>
      </c>
    </row>
    <row r="1101" spans="1:13" s="12" customFormat="1" ht="21.6" customHeight="1" x14ac:dyDescent="0.2">
      <c r="A1101" s="85"/>
      <c r="B1101" s="68" t="s">
        <v>535</v>
      </c>
      <c r="C1101" s="26">
        <v>929</v>
      </c>
      <c r="D1101" s="13" t="s">
        <v>23</v>
      </c>
      <c r="E1101" s="13" t="s">
        <v>5</v>
      </c>
      <c r="F1101" s="13"/>
      <c r="G1101" s="13"/>
      <c r="H1101" s="13"/>
      <c r="I1101" s="13"/>
      <c r="J1101" s="13"/>
      <c r="K1101" s="17">
        <f>SUM(K1102+K1109+K1148+K1153+T1181+K1162)</f>
        <v>214057.79999999996</v>
      </c>
      <c r="L1101" s="17">
        <f>SUM(L1102+L1109+L1148+L1153+U1181+L1162)</f>
        <v>158356.9</v>
      </c>
      <c r="M1101" s="17">
        <f t="shared" si="125"/>
        <v>73.97857027401011</v>
      </c>
    </row>
    <row r="1102" spans="1:13" s="12" customFormat="1" ht="36.6" customHeight="1" x14ac:dyDescent="0.2">
      <c r="A1102" s="85"/>
      <c r="B1102" s="50" t="s">
        <v>352</v>
      </c>
      <c r="C1102" s="26">
        <v>929</v>
      </c>
      <c r="D1102" s="13" t="s">
        <v>23</v>
      </c>
      <c r="E1102" s="13" t="s">
        <v>5</v>
      </c>
      <c r="F1102" s="13" t="s">
        <v>4</v>
      </c>
      <c r="G1102" s="13"/>
      <c r="H1102" s="13"/>
      <c r="I1102" s="13"/>
      <c r="J1102" s="26"/>
      <c r="K1102" s="17">
        <f>K1103</f>
        <v>39524</v>
      </c>
      <c r="L1102" s="17">
        <f>L1103</f>
        <v>28721.100000000002</v>
      </c>
      <c r="M1102" s="17">
        <f t="shared" si="125"/>
        <v>72.667493168707637</v>
      </c>
    </row>
    <row r="1103" spans="1:13" s="12" customFormat="1" ht="35.25" customHeight="1" x14ac:dyDescent="0.2">
      <c r="A1103" s="85"/>
      <c r="B1103" s="50" t="s">
        <v>146</v>
      </c>
      <c r="C1103" s="26">
        <v>929</v>
      </c>
      <c r="D1103" s="13" t="s">
        <v>23</v>
      </c>
      <c r="E1103" s="13" t="s">
        <v>5</v>
      </c>
      <c r="F1103" s="13" t="s">
        <v>4</v>
      </c>
      <c r="G1103" s="13" t="s">
        <v>126</v>
      </c>
      <c r="H1103" s="13"/>
      <c r="I1103" s="13"/>
      <c r="J1103" s="26"/>
      <c r="K1103" s="17">
        <f>K1104</f>
        <v>39524</v>
      </c>
      <c r="L1103" s="17">
        <f>L1104</f>
        <v>28721.100000000002</v>
      </c>
      <c r="M1103" s="17">
        <f t="shared" si="125"/>
        <v>72.667493168707637</v>
      </c>
    </row>
    <row r="1104" spans="1:13" s="12" customFormat="1" ht="63.6" customHeight="1" x14ac:dyDescent="0.2">
      <c r="A1104" s="85"/>
      <c r="B1104" s="50" t="s">
        <v>147</v>
      </c>
      <c r="C1104" s="26">
        <v>929</v>
      </c>
      <c r="D1104" s="13" t="s">
        <v>23</v>
      </c>
      <c r="E1104" s="13" t="s">
        <v>5</v>
      </c>
      <c r="F1104" s="13" t="s">
        <v>4</v>
      </c>
      <c r="G1104" s="13" t="s">
        <v>126</v>
      </c>
      <c r="H1104" s="13" t="s">
        <v>2</v>
      </c>
      <c r="I1104" s="13"/>
      <c r="J1104" s="26"/>
      <c r="K1104" s="17">
        <f>K1105+K1107</f>
        <v>39524</v>
      </c>
      <c r="L1104" s="17">
        <f>L1105+L1107</f>
        <v>28721.100000000002</v>
      </c>
      <c r="M1104" s="17">
        <f t="shared" si="125"/>
        <v>72.667493168707637</v>
      </c>
    </row>
    <row r="1105" spans="1:13" s="12" customFormat="1" ht="48.6" customHeight="1" x14ac:dyDescent="0.2">
      <c r="A1105" s="85"/>
      <c r="B1105" s="50" t="s">
        <v>400</v>
      </c>
      <c r="C1105" s="26">
        <v>929</v>
      </c>
      <c r="D1105" s="13" t="s">
        <v>23</v>
      </c>
      <c r="E1105" s="13" t="s">
        <v>5</v>
      </c>
      <c r="F1105" s="13" t="s">
        <v>4</v>
      </c>
      <c r="G1105" s="13" t="s">
        <v>126</v>
      </c>
      <c r="H1105" s="13" t="s">
        <v>2</v>
      </c>
      <c r="I1105" s="13" t="s">
        <v>351</v>
      </c>
      <c r="J1105" s="26"/>
      <c r="K1105" s="17">
        <f>K1106</f>
        <v>12563.8</v>
      </c>
      <c r="L1105" s="17">
        <f>L1106</f>
        <v>1760.9</v>
      </c>
      <c r="M1105" s="17">
        <f t="shared" si="125"/>
        <v>14.015664050685302</v>
      </c>
    </row>
    <row r="1106" spans="1:13" s="12" customFormat="1" ht="35.450000000000003" customHeight="1" x14ac:dyDescent="0.2">
      <c r="A1106" s="85"/>
      <c r="B1106" s="33" t="s">
        <v>353</v>
      </c>
      <c r="C1106" s="26">
        <v>929</v>
      </c>
      <c r="D1106" s="13" t="s">
        <v>23</v>
      </c>
      <c r="E1106" s="13" t="s">
        <v>5</v>
      </c>
      <c r="F1106" s="13" t="s">
        <v>4</v>
      </c>
      <c r="G1106" s="13" t="s">
        <v>126</v>
      </c>
      <c r="H1106" s="13" t="s">
        <v>2</v>
      </c>
      <c r="I1106" s="13" t="s">
        <v>351</v>
      </c>
      <c r="J1106" s="26" t="s">
        <v>77</v>
      </c>
      <c r="K1106" s="17">
        <v>12563.8</v>
      </c>
      <c r="L1106" s="17">
        <v>1760.9</v>
      </c>
      <c r="M1106" s="17">
        <f t="shared" si="125"/>
        <v>14.015664050685302</v>
      </c>
    </row>
    <row r="1107" spans="1:13" s="12" customFormat="1" ht="35.25" customHeight="1" x14ac:dyDescent="0.2">
      <c r="A1107" s="85"/>
      <c r="B1107" s="33" t="s">
        <v>373</v>
      </c>
      <c r="C1107" s="26">
        <v>929</v>
      </c>
      <c r="D1107" s="13" t="s">
        <v>23</v>
      </c>
      <c r="E1107" s="13" t="s">
        <v>5</v>
      </c>
      <c r="F1107" s="13" t="s">
        <v>4</v>
      </c>
      <c r="G1107" s="13" t="s">
        <v>126</v>
      </c>
      <c r="H1107" s="13" t="s">
        <v>2</v>
      </c>
      <c r="I1107" s="13" t="s">
        <v>397</v>
      </c>
      <c r="J1107" s="26"/>
      <c r="K1107" s="17">
        <f>K1108</f>
        <v>26960.2</v>
      </c>
      <c r="L1107" s="17">
        <f>L1108</f>
        <v>26960.2</v>
      </c>
      <c r="M1107" s="17">
        <f t="shared" si="125"/>
        <v>100</v>
      </c>
    </row>
    <row r="1108" spans="1:13" s="12" customFormat="1" ht="33.6" customHeight="1" x14ac:dyDescent="0.2">
      <c r="A1108" s="85"/>
      <c r="B1108" s="33" t="s">
        <v>353</v>
      </c>
      <c r="C1108" s="26">
        <v>929</v>
      </c>
      <c r="D1108" s="13" t="s">
        <v>23</v>
      </c>
      <c r="E1108" s="13" t="s">
        <v>5</v>
      </c>
      <c r="F1108" s="13" t="s">
        <v>4</v>
      </c>
      <c r="G1108" s="13" t="s">
        <v>126</v>
      </c>
      <c r="H1108" s="13" t="s">
        <v>2</v>
      </c>
      <c r="I1108" s="13" t="s">
        <v>397</v>
      </c>
      <c r="J1108" s="26" t="s">
        <v>77</v>
      </c>
      <c r="K1108" s="17">
        <v>26960.2</v>
      </c>
      <c r="L1108" s="17">
        <v>26960.2</v>
      </c>
      <c r="M1108" s="17">
        <f t="shared" ref="M1108:M1171" si="134">L1108/K1108*100</f>
        <v>100</v>
      </c>
    </row>
    <row r="1109" spans="1:13" s="12" customFormat="1" ht="34.9" customHeight="1" x14ac:dyDescent="0.2">
      <c r="A1109" s="85"/>
      <c r="B1109" s="50" t="s">
        <v>296</v>
      </c>
      <c r="C1109" s="26" t="s">
        <v>31</v>
      </c>
      <c r="D1109" s="13" t="s">
        <v>23</v>
      </c>
      <c r="E1109" s="13" t="s">
        <v>5</v>
      </c>
      <c r="F1109" s="13" t="s">
        <v>7</v>
      </c>
      <c r="G1109" s="13"/>
      <c r="H1109" s="13"/>
      <c r="I1109" s="13"/>
      <c r="J1109" s="13"/>
      <c r="K1109" s="17">
        <f>SUM(K1114+K1110+K1141)</f>
        <v>158428.49999999997</v>
      </c>
      <c r="L1109" s="17">
        <f>SUM(L1114+L1110+L1141)</f>
        <v>115946.69999999998</v>
      </c>
      <c r="M1109" s="17">
        <f t="shared" si="134"/>
        <v>73.185506395629574</v>
      </c>
    </row>
    <row r="1110" spans="1:13" s="12" customFormat="1" ht="49.9" customHeight="1" x14ac:dyDescent="0.2">
      <c r="A1110" s="85"/>
      <c r="B1110" s="50" t="s">
        <v>302</v>
      </c>
      <c r="C1110" s="42">
        <v>929</v>
      </c>
      <c r="D1110" s="13" t="s">
        <v>23</v>
      </c>
      <c r="E1110" s="13" t="s">
        <v>5</v>
      </c>
      <c r="F1110" s="26" t="s">
        <v>7</v>
      </c>
      <c r="G1110" s="42">
        <v>1</v>
      </c>
      <c r="H1110" s="26"/>
      <c r="I1110" s="26"/>
      <c r="J1110" s="26"/>
      <c r="K1110" s="17">
        <f t="shared" ref="K1110:L1112" si="135">K1111</f>
        <v>465</v>
      </c>
      <c r="L1110" s="17">
        <f t="shared" si="135"/>
        <v>310</v>
      </c>
      <c r="M1110" s="17">
        <f t="shared" si="134"/>
        <v>66.666666666666657</v>
      </c>
    </row>
    <row r="1111" spans="1:13" s="12" customFormat="1" ht="36.6" customHeight="1" x14ac:dyDescent="0.2">
      <c r="A1111" s="85"/>
      <c r="B1111" s="50" t="s">
        <v>528</v>
      </c>
      <c r="C1111" s="42">
        <v>929</v>
      </c>
      <c r="D1111" s="13" t="s">
        <v>23</v>
      </c>
      <c r="E1111" s="26" t="s">
        <v>5</v>
      </c>
      <c r="F1111" s="26" t="s">
        <v>7</v>
      </c>
      <c r="G1111" s="42">
        <v>1</v>
      </c>
      <c r="H1111" s="26" t="s">
        <v>4</v>
      </c>
      <c r="I1111" s="26"/>
      <c r="J1111" s="26"/>
      <c r="K1111" s="17">
        <f t="shared" si="135"/>
        <v>465</v>
      </c>
      <c r="L1111" s="17">
        <f t="shared" si="135"/>
        <v>310</v>
      </c>
      <c r="M1111" s="17">
        <f t="shared" si="134"/>
        <v>66.666666666666657</v>
      </c>
    </row>
    <row r="1112" spans="1:13" s="12" customFormat="1" ht="18.600000000000001" customHeight="1" x14ac:dyDescent="0.2">
      <c r="A1112" s="85"/>
      <c r="B1112" s="50" t="s">
        <v>522</v>
      </c>
      <c r="C1112" s="42">
        <v>929</v>
      </c>
      <c r="D1112" s="26" t="s">
        <v>23</v>
      </c>
      <c r="E1112" s="26" t="s">
        <v>5</v>
      </c>
      <c r="F1112" s="26" t="s">
        <v>7</v>
      </c>
      <c r="G1112" s="42">
        <v>1</v>
      </c>
      <c r="H1112" s="26" t="s">
        <v>4</v>
      </c>
      <c r="I1112" s="26" t="s">
        <v>521</v>
      </c>
      <c r="J1112" s="26"/>
      <c r="K1112" s="17">
        <f t="shared" si="135"/>
        <v>465</v>
      </c>
      <c r="L1112" s="17">
        <f t="shared" si="135"/>
        <v>310</v>
      </c>
      <c r="M1112" s="17">
        <f t="shared" si="134"/>
        <v>66.666666666666657</v>
      </c>
    </row>
    <row r="1113" spans="1:13" s="12" customFormat="1" ht="33.75" customHeight="1" x14ac:dyDescent="0.2">
      <c r="A1113" s="85"/>
      <c r="B1113" s="33" t="s">
        <v>353</v>
      </c>
      <c r="C1113" s="42">
        <v>929</v>
      </c>
      <c r="D1113" s="26" t="s">
        <v>23</v>
      </c>
      <c r="E1113" s="26" t="s">
        <v>5</v>
      </c>
      <c r="F1113" s="26" t="s">
        <v>7</v>
      </c>
      <c r="G1113" s="42">
        <v>1</v>
      </c>
      <c r="H1113" s="26" t="s">
        <v>4</v>
      </c>
      <c r="I1113" s="26" t="s">
        <v>521</v>
      </c>
      <c r="J1113" s="26" t="s">
        <v>77</v>
      </c>
      <c r="K1113" s="17">
        <v>465</v>
      </c>
      <c r="L1113" s="17">
        <v>310</v>
      </c>
      <c r="M1113" s="17">
        <f t="shared" si="134"/>
        <v>66.666666666666657</v>
      </c>
    </row>
    <row r="1114" spans="1:13" s="12" customFormat="1" ht="18" customHeight="1" x14ac:dyDescent="0.2">
      <c r="A1114" s="85"/>
      <c r="B1114" s="58" t="s">
        <v>297</v>
      </c>
      <c r="C1114" s="26" t="s">
        <v>31</v>
      </c>
      <c r="D1114" s="26" t="s">
        <v>23</v>
      </c>
      <c r="E1114" s="13" t="s">
        <v>5</v>
      </c>
      <c r="F1114" s="13" t="s">
        <v>7</v>
      </c>
      <c r="G1114" s="13" t="s">
        <v>166</v>
      </c>
      <c r="H1114" s="13"/>
      <c r="I1114" s="13"/>
      <c r="J1114" s="13"/>
      <c r="K1114" s="17">
        <f>SUM(K1115)</f>
        <v>156449.69999999998</v>
      </c>
      <c r="L1114" s="17">
        <f>SUM(L1115)</f>
        <v>114353.89999999998</v>
      </c>
      <c r="M1114" s="17">
        <f t="shared" si="134"/>
        <v>73.093077199892349</v>
      </c>
    </row>
    <row r="1115" spans="1:13" s="12" customFormat="1" ht="33.75" customHeight="1" x14ac:dyDescent="0.2">
      <c r="A1115" s="85"/>
      <c r="B1115" s="58" t="s">
        <v>167</v>
      </c>
      <c r="C1115" s="26" t="s">
        <v>31</v>
      </c>
      <c r="D1115" s="13" t="s">
        <v>23</v>
      </c>
      <c r="E1115" s="13" t="s">
        <v>5</v>
      </c>
      <c r="F1115" s="13" t="s">
        <v>7</v>
      </c>
      <c r="G1115" s="13" t="s">
        <v>166</v>
      </c>
      <c r="H1115" s="13" t="s">
        <v>2</v>
      </c>
      <c r="I1115" s="13"/>
      <c r="J1115" s="13"/>
      <c r="K1115" s="17">
        <f>SUM(K1116+K1123+K1129+K1133+K1118+K1137+K1139+K1127+K1131+K1135+K1125)</f>
        <v>156449.69999999998</v>
      </c>
      <c r="L1115" s="17">
        <f>SUM(L1116+L1123+L1129+L1133+L1118+L1137+L1139+L1127+L1131+L1135+L1125)</f>
        <v>114353.89999999998</v>
      </c>
      <c r="M1115" s="17">
        <f t="shared" si="134"/>
        <v>73.093077199892349</v>
      </c>
    </row>
    <row r="1116" spans="1:13" s="12" customFormat="1" ht="64.900000000000006" customHeight="1" x14ac:dyDescent="0.2">
      <c r="A1116" s="85"/>
      <c r="B1116" s="33" t="s">
        <v>88</v>
      </c>
      <c r="C1116" s="26" t="s">
        <v>31</v>
      </c>
      <c r="D1116" s="13" t="s">
        <v>23</v>
      </c>
      <c r="E1116" s="13" t="s">
        <v>5</v>
      </c>
      <c r="F1116" s="13" t="s">
        <v>7</v>
      </c>
      <c r="G1116" s="13" t="s">
        <v>166</v>
      </c>
      <c r="H1116" s="13" t="s">
        <v>2</v>
      </c>
      <c r="I1116" s="13" t="s">
        <v>116</v>
      </c>
      <c r="J1116" s="13"/>
      <c r="K1116" s="17">
        <f>SUM(K1117)</f>
        <v>132291.4</v>
      </c>
      <c r="L1116" s="17">
        <f>SUM(L1117)</f>
        <v>93660</v>
      </c>
      <c r="M1116" s="17">
        <f t="shared" si="134"/>
        <v>70.798252947659492</v>
      </c>
    </row>
    <row r="1117" spans="1:13" s="12" customFormat="1" ht="33" customHeight="1" x14ac:dyDescent="0.2">
      <c r="A1117" s="85"/>
      <c r="B1117" s="53" t="s">
        <v>76</v>
      </c>
      <c r="C1117" s="26" t="s">
        <v>31</v>
      </c>
      <c r="D1117" s="13" t="s">
        <v>23</v>
      </c>
      <c r="E1117" s="13" t="s">
        <v>5</v>
      </c>
      <c r="F1117" s="13" t="s">
        <v>7</v>
      </c>
      <c r="G1117" s="13" t="s">
        <v>166</v>
      </c>
      <c r="H1117" s="13" t="s">
        <v>2</v>
      </c>
      <c r="I1117" s="13" t="s">
        <v>116</v>
      </c>
      <c r="J1117" s="13" t="s">
        <v>77</v>
      </c>
      <c r="K1117" s="17">
        <v>132291.4</v>
      </c>
      <c r="L1117" s="17">
        <v>93660</v>
      </c>
      <c r="M1117" s="17">
        <f t="shared" si="134"/>
        <v>70.798252947659492</v>
      </c>
    </row>
    <row r="1118" spans="1:13" s="12" customFormat="1" ht="49.15" customHeight="1" x14ac:dyDescent="0.2">
      <c r="A1118" s="85"/>
      <c r="B1118" s="53" t="s">
        <v>298</v>
      </c>
      <c r="C1118" s="26" t="s">
        <v>31</v>
      </c>
      <c r="D1118" s="13" t="s">
        <v>23</v>
      </c>
      <c r="E1118" s="13" t="s">
        <v>5</v>
      </c>
      <c r="F1118" s="13" t="s">
        <v>7</v>
      </c>
      <c r="G1118" s="13" t="s">
        <v>166</v>
      </c>
      <c r="H1118" s="13" t="s">
        <v>2</v>
      </c>
      <c r="I1118" s="13" t="s">
        <v>227</v>
      </c>
      <c r="J1118" s="13"/>
      <c r="K1118" s="17">
        <f>SUM(K1119+K1120+K1121+K1122)</f>
        <v>2728.1</v>
      </c>
      <c r="L1118" s="17">
        <f>SUM(L1119+L1120+L1121+L1122)</f>
        <v>2348.6999999999998</v>
      </c>
      <c r="M1118" s="17">
        <f t="shared" si="134"/>
        <v>86.092885158168684</v>
      </c>
    </row>
    <row r="1119" spans="1:13" s="12" customFormat="1" ht="79.900000000000006" customHeight="1" x14ac:dyDescent="0.2">
      <c r="A1119" s="85"/>
      <c r="B1119" s="53" t="s">
        <v>174</v>
      </c>
      <c r="C1119" s="26" t="s">
        <v>31</v>
      </c>
      <c r="D1119" s="13" t="s">
        <v>23</v>
      </c>
      <c r="E1119" s="13" t="s">
        <v>5</v>
      </c>
      <c r="F1119" s="13" t="s">
        <v>7</v>
      </c>
      <c r="G1119" s="13" t="s">
        <v>166</v>
      </c>
      <c r="H1119" s="13" t="s">
        <v>2</v>
      </c>
      <c r="I1119" s="13" t="s">
        <v>227</v>
      </c>
      <c r="J1119" s="13" t="s">
        <v>56</v>
      </c>
      <c r="K1119" s="17">
        <v>0</v>
      </c>
      <c r="L1119" s="17">
        <v>0</v>
      </c>
      <c r="M1119" s="17"/>
    </row>
    <row r="1120" spans="1:13" s="12" customFormat="1" ht="34.15" customHeight="1" x14ac:dyDescent="0.2">
      <c r="A1120" s="85"/>
      <c r="B1120" s="33" t="s">
        <v>175</v>
      </c>
      <c r="C1120" s="26" t="s">
        <v>31</v>
      </c>
      <c r="D1120" s="13" t="s">
        <v>23</v>
      </c>
      <c r="E1120" s="13" t="s">
        <v>5</v>
      </c>
      <c r="F1120" s="13" t="s">
        <v>7</v>
      </c>
      <c r="G1120" s="13" t="s">
        <v>166</v>
      </c>
      <c r="H1120" s="13" t="s">
        <v>2</v>
      </c>
      <c r="I1120" s="13" t="s">
        <v>227</v>
      </c>
      <c r="J1120" s="13" t="s">
        <v>58</v>
      </c>
      <c r="K1120" s="17">
        <v>250</v>
      </c>
      <c r="L1120" s="17">
        <v>211.1</v>
      </c>
      <c r="M1120" s="17">
        <f t="shared" si="134"/>
        <v>84.44</v>
      </c>
    </row>
    <row r="1121" spans="1:13" s="12" customFormat="1" ht="19.149999999999999" customHeight="1" x14ac:dyDescent="0.2">
      <c r="A1121" s="85"/>
      <c r="B1121" s="53" t="s">
        <v>69</v>
      </c>
      <c r="C1121" s="26" t="s">
        <v>31</v>
      </c>
      <c r="D1121" s="13" t="s">
        <v>23</v>
      </c>
      <c r="E1121" s="13" t="s">
        <v>5</v>
      </c>
      <c r="F1121" s="13" t="s">
        <v>7</v>
      </c>
      <c r="G1121" s="13" t="s">
        <v>166</v>
      </c>
      <c r="H1121" s="13" t="s">
        <v>2</v>
      </c>
      <c r="I1121" s="13" t="s">
        <v>227</v>
      </c>
      <c r="J1121" s="13" t="s">
        <v>70</v>
      </c>
      <c r="K1121" s="17">
        <v>748</v>
      </c>
      <c r="L1121" s="17">
        <v>467.5</v>
      </c>
      <c r="M1121" s="17">
        <f t="shared" si="134"/>
        <v>62.5</v>
      </c>
    </row>
    <row r="1122" spans="1:13" s="12" customFormat="1" ht="33" customHeight="1" x14ac:dyDescent="0.2">
      <c r="A1122" s="85"/>
      <c r="B1122" s="53" t="s">
        <v>76</v>
      </c>
      <c r="C1122" s="26" t="s">
        <v>31</v>
      </c>
      <c r="D1122" s="13" t="s">
        <v>23</v>
      </c>
      <c r="E1122" s="13" t="s">
        <v>5</v>
      </c>
      <c r="F1122" s="13" t="s">
        <v>7</v>
      </c>
      <c r="G1122" s="13" t="s">
        <v>166</v>
      </c>
      <c r="H1122" s="13" t="s">
        <v>2</v>
      </c>
      <c r="I1122" s="13" t="s">
        <v>227</v>
      </c>
      <c r="J1122" s="13" t="s">
        <v>77</v>
      </c>
      <c r="K1122" s="17">
        <f>2638.1-998+90</f>
        <v>1730.1</v>
      </c>
      <c r="L1122" s="17">
        <v>1670.1</v>
      </c>
      <c r="M1122" s="17">
        <f t="shared" si="134"/>
        <v>96.531992370383207</v>
      </c>
    </row>
    <row r="1123" spans="1:13" ht="52.15" customHeight="1" x14ac:dyDescent="0.2">
      <c r="A1123" s="85"/>
      <c r="B1123" s="53" t="s">
        <v>299</v>
      </c>
      <c r="C1123" s="42">
        <v>929</v>
      </c>
      <c r="D1123" s="13" t="s">
        <v>23</v>
      </c>
      <c r="E1123" s="13" t="s">
        <v>5</v>
      </c>
      <c r="F1123" s="26" t="s">
        <v>7</v>
      </c>
      <c r="G1123" s="42">
        <v>2</v>
      </c>
      <c r="H1123" s="26" t="s">
        <v>2</v>
      </c>
      <c r="I1123" s="26" t="s">
        <v>168</v>
      </c>
      <c r="J1123" s="13"/>
      <c r="K1123" s="17">
        <f>SUM(K1124)</f>
        <v>0</v>
      </c>
      <c r="L1123" s="17">
        <f>SUM(L1124)</f>
        <v>0</v>
      </c>
      <c r="M1123" s="17"/>
    </row>
    <row r="1124" spans="1:13" ht="35.450000000000003" customHeight="1" x14ac:dyDescent="0.2">
      <c r="A1124" s="85"/>
      <c r="B1124" s="53" t="s">
        <v>76</v>
      </c>
      <c r="C1124" s="42">
        <v>929</v>
      </c>
      <c r="D1124" s="13" t="s">
        <v>23</v>
      </c>
      <c r="E1124" s="13" t="s">
        <v>5</v>
      </c>
      <c r="F1124" s="26" t="s">
        <v>7</v>
      </c>
      <c r="G1124" s="42">
        <v>2</v>
      </c>
      <c r="H1124" s="26" t="s">
        <v>2</v>
      </c>
      <c r="I1124" s="26" t="s">
        <v>168</v>
      </c>
      <c r="J1124" s="26" t="s">
        <v>77</v>
      </c>
      <c r="K1124" s="17">
        <v>0</v>
      </c>
      <c r="L1124" s="17">
        <v>0</v>
      </c>
      <c r="M1124" s="17"/>
    </row>
    <row r="1125" spans="1:13" ht="30.6" customHeight="1" x14ac:dyDescent="0.2">
      <c r="A1125" s="85"/>
      <c r="B1125" s="53" t="s">
        <v>554</v>
      </c>
      <c r="C1125" s="42">
        <v>929</v>
      </c>
      <c r="D1125" s="13" t="s">
        <v>23</v>
      </c>
      <c r="E1125" s="13" t="s">
        <v>5</v>
      </c>
      <c r="F1125" s="13" t="s">
        <v>7</v>
      </c>
      <c r="G1125" s="13" t="s">
        <v>166</v>
      </c>
      <c r="H1125" s="26" t="s">
        <v>2</v>
      </c>
      <c r="I1125" s="26" t="s">
        <v>555</v>
      </c>
      <c r="J1125" s="26"/>
      <c r="K1125" s="17">
        <f>K1126</f>
        <v>1967.3</v>
      </c>
      <c r="L1125" s="17">
        <f>L1126</f>
        <v>1967.4</v>
      </c>
      <c r="M1125" s="17">
        <f t="shared" si="134"/>
        <v>100.00508310882937</v>
      </c>
    </row>
    <row r="1126" spans="1:13" ht="31.5" customHeight="1" x14ac:dyDescent="0.2">
      <c r="A1126" s="85"/>
      <c r="B1126" s="53" t="s">
        <v>76</v>
      </c>
      <c r="C1126" s="42">
        <v>929</v>
      </c>
      <c r="D1126" s="13" t="s">
        <v>23</v>
      </c>
      <c r="E1126" s="13" t="s">
        <v>5</v>
      </c>
      <c r="F1126" s="13" t="s">
        <v>7</v>
      </c>
      <c r="G1126" s="13" t="s">
        <v>166</v>
      </c>
      <c r="H1126" s="26" t="s">
        <v>2</v>
      </c>
      <c r="I1126" s="26" t="s">
        <v>555</v>
      </c>
      <c r="J1126" s="26" t="s">
        <v>77</v>
      </c>
      <c r="K1126" s="17">
        <v>1967.3</v>
      </c>
      <c r="L1126" s="17">
        <v>1967.4</v>
      </c>
      <c r="M1126" s="17">
        <f t="shared" si="134"/>
        <v>100.00508310882937</v>
      </c>
    </row>
    <row r="1127" spans="1:13" ht="52.9" customHeight="1" x14ac:dyDescent="0.2">
      <c r="A1127" s="85"/>
      <c r="B1127" s="53" t="s">
        <v>432</v>
      </c>
      <c r="C1127" s="42">
        <v>929</v>
      </c>
      <c r="D1127" s="13" t="s">
        <v>23</v>
      </c>
      <c r="E1127" s="13" t="s">
        <v>5</v>
      </c>
      <c r="F1127" s="26" t="s">
        <v>7</v>
      </c>
      <c r="G1127" s="42">
        <v>2</v>
      </c>
      <c r="H1127" s="26" t="s">
        <v>2</v>
      </c>
      <c r="I1127" s="26" t="s">
        <v>431</v>
      </c>
      <c r="J1127" s="26"/>
      <c r="K1127" s="17">
        <f>K1128</f>
        <v>0</v>
      </c>
      <c r="L1127" s="17">
        <f>L1128</f>
        <v>0</v>
      </c>
      <c r="M1127" s="17"/>
    </row>
    <row r="1128" spans="1:13" ht="31.5" customHeight="1" x14ac:dyDescent="0.2">
      <c r="A1128" s="85"/>
      <c r="B1128" s="53" t="s">
        <v>76</v>
      </c>
      <c r="C1128" s="42">
        <v>929</v>
      </c>
      <c r="D1128" s="13" t="s">
        <v>23</v>
      </c>
      <c r="E1128" s="13" t="s">
        <v>5</v>
      </c>
      <c r="F1128" s="26" t="s">
        <v>7</v>
      </c>
      <c r="G1128" s="42">
        <v>2</v>
      </c>
      <c r="H1128" s="26" t="s">
        <v>2</v>
      </c>
      <c r="I1128" s="26" t="s">
        <v>431</v>
      </c>
      <c r="J1128" s="26" t="s">
        <v>77</v>
      </c>
      <c r="K1128" s="17">
        <v>0</v>
      </c>
      <c r="L1128" s="17">
        <v>0</v>
      </c>
      <c r="M1128" s="17"/>
    </row>
    <row r="1129" spans="1:13" ht="20.45" customHeight="1" x14ac:dyDescent="0.2">
      <c r="A1129" s="85"/>
      <c r="B1129" s="50" t="s">
        <v>206</v>
      </c>
      <c r="C1129" s="42">
        <v>929</v>
      </c>
      <c r="D1129" s="13" t="s">
        <v>23</v>
      </c>
      <c r="E1129" s="13" t="s">
        <v>5</v>
      </c>
      <c r="F1129" s="13" t="s">
        <v>7</v>
      </c>
      <c r="G1129" s="13" t="s">
        <v>166</v>
      </c>
      <c r="H1129" s="13" t="s">
        <v>2</v>
      </c>
      <c r="I1129" s="13" t="s">
        <v>200</v>
      </c>
      <c r="J1129" s="26"/>
      <c r="K1129" s="17">
        <f>K1130</f>
        <v>0</v>
      </c>
      <c r="L1129" s="17">
        <f>L1130</f>
        <v>0</v>
      </c>
      <c r="M1129" s="17"/>
    </row>
    <row r="1130" spans="1:13" ht="32.25" customHeight="1" x14ac:dyDescent="0.2">
      <c r="A1130" s="85"/>
      <c r="B1130" s="53" t="s">
        <v>76</v>
      </c>
      <c r="C1130" s="42">
        <v>929</v>
      </c>
      <c r="D1130" s="13" t="s">
        <v>23</v>
      </c>
      <c r="E1130" s="13" t="s">
        <v>5</v>
      </c>
      <c r="F1130" s="13" t="s">
        <v>7</v>
      </c>
      <c r="G1130" s="13" t="s">
        <v>166</v>
      </c>
      <c r="H1130" s="13" t="s">
        <v>2</v>
      </c>
      <c r="I1130" s="13" t="s">
        <v>200</v>
      </c>
      <c r="J1130" s="26" t="s">
        <v>77</v>
      </c>
      <c r="K1130" s="17">
        <v>0</v>
      </c>
      <c r="L1130" s="17">
        <v>0</v>
      </c>
      <c r="M1130" s="17"/>
    </row>
    <row r="1131" spans="1:13" ht="64.150000000000006" customHeight="1" x14ac:dyDescent="0.2">
      <c r="A1131" s="85"/>
      <c r="B1131" s="33" t="s">
        <v>213</v>
      </c>
      <c r="C1131" s="42">
        <v>929</v>
      </c>
      <c r="D1131" s="13" t="s">
        <v>23</v>
      </c>
      <c r="E1131" s="13" t="s">
        <v>5</v>
      </c>
      <c r="F1131" s="26" t="s">
        <v>7</v>
      </c>
      <c r="G1131" s="42">
        <v>2</v>
      </c>
      <c r="H1131" s="26" t="s">
        <v>2</v>
      </c>
      <c r="I1131" s="26" t="s">
        <v>212</v>
      </c>
      <c r="J1131" s="26"/>
      <c r="K1131" s="17">
        <f>K1132</f>
        <v>12096.8</v>
      </c>
      <c r="L1131" s="17">
        <f>L1132</f>
        <v>10111.9</v>
      </c>
      <c r="M1131" s="17">
        <f t="shared" si="134"/>
        <v>83.591528338072891</v>
      </c>
    </row>
    <row r="1132" spans="1:13" ht="34.9" customHeight="1" x14ac:dyDescent="0.2">
      <c r="A1132" s="85"/>
      <c r="B1132" s="33" t="s">
        <v>353</v>
      </c>
      <c r="C1132" s="42">
        <v>929</v>
      </c>
      <c r="D1132" s="13" t="s">
        <v>23</v>
      </c>
      <c r="E1132" s="13" t="s">
        <v>5</v>
      </c>
      <c r="F1132" s="26" t="s">
        <v>7</v>
      </c>
      <c r="G1132" s="42">
        <v>2</v>
      </c>
      <c r="H1132" s="26" t="s">
        <v>2</v>
      </c>
      <c r="I1132" s="26" t="s">
        <v>212</v>
      </c>
      <c r="J1132" s="26" t="s">
        <v>77</v>
      </c>
      <c r="K1132" s="17">
        <f>6098+5998.8</f>
        <v>12096.8</v>
      </c>
      <c r="L1132" s="17">
        <v>10111.9</v>
      </c>
      <c r="M1132" s="17">
        <f t="shared" si="134"/>
        <v>83.591528338072891</v>
      </c>
    </row>
    <row r="1133" spans="1:13" ht="130.15" customHeight="1" x14ac:dyDescent="0.2">
      <c r="A1133" s="85"/>
      <c r="B1133" s="69" t="s">
        <v>427</v>
      </c>
      <c r="C1133" s="26" t="s">
        <v>31</v>
      </c>
      <c r="D1133" s="13" t="s">
        <v>23</v>
      </c>
      <c r="E1133" s="13" t="s">
        <v>5</v>
      </c>
      <c r="F1133" s="13" t="s">
        <v>7</v>
      </c>
      <c r="G1133" s="13" t="s">
        <v>166</v>
      </c>
      <c r="H1133" s="13" t="s">
        <v>2</v>
      </c>
      <c r="I1133" s="13" t="s">
        <v>169</v>
      </c>
      <c r="J1133" s="13"/>
      <c r="K1133" s="17">
        <f>SUM(K1134)</f>
        <v>437.5</v>
      </c>
      <c r="L1133" s="17">
        <f>SUM(L1134)</f>
        <v>291.60000000000002</v>
      </c>
      <c r="M1133" s="17">
        <f t="shared" si="134"/>
        <v>66.651428571428568</v>
      </c>
    </row>
    <row r="1134" spans="1:13" ht="37.9" customHeight="1" x14ac:dyDescent="0.2">
      <c r="A1134" s="85"/>
      <c r="B1134" s="53" t="s">
        <v>173</v>
      </c>
      <c r="C1134" s="26" t="s">
        <v>31</v>
      </c>
      <c r="D1134" s="13" t="s">
        <v>23</v>
      </c>
      <c r="E1134" s="13" t="s">
        <v>5</v>
      </c>
      <c r="F1134" s="13" t="s">
        <v>7</v>
      </c>
      <c r="G1134" s="13" t="s">
        <v>166</v>
      </c>
      <c r="H1134" s="13" t="s">
        <v>2</v>
      </c>
      <c r="I1134" s="13" t="s">
        <v>169</v>
      </c>
      <c r="J1134" s="13" t="s">
        <v>77</v>
      </c>
      <c r="K1134" s="17">
        <f>625-187.5</f>
        <v>437.5</v>
      </c>
      <c r="L1134" s="17">
        <v>291.60000000000002</v>
      </c>
      <c r="M1134" s="17">
        <f t="shared" si="134"/>
        <v>66.651428571428568</v>
      </c>
    </row>
    <row r="1135" spans="1:13" ht="31.5" x14ac:dyDescent="0.2">
      <c r="A1135" s="85"/>
      <c r="B1135" s="33" t="s">
        <v>373</v>
      </c>
      <c r="C1135" s="26">
        <v>929</v>
      </c>
      <c r="D1135" s="13" t="s">
        <v>23</v>
      </c>
      <c r="E1135" s="13" t="s">
        <v>5</v>
      </c>
      <c r="F1135" s="13" t="s">
        <v>7</v>
      </c>
      <c r="G1135" s="13" t="s">
        <v>166</v>
      </c>
      <c r="H1135" s="13" t="s">
        <v>2</v>
      </c>
      <c r="I1135" s="13" t="s">
        <v>397</v>
      </c>
      <c r="J1135" s="26"/>
      <c r="K1135" s="17">
        <f>K1136</f>
        <v>350</v>
      </c>
      <c r="L1135" s="17">
        <f>L1136</f>
        <v>350</v>
      </c>
      <c r="M1135" s="17">
        <f t="shared" si="134"/>
        <v>100</v>
      </c>
    </row>
    <row r="1136" spans="1:13" ht="31.15" customHeight="1" x14ac:dyDescent="0.2">
      <c r="A1136" s="85"/>
      <c r="B1136" s="33" t="s">
        <v>353</v>
      </c>
      <c r="C1136" s="26">
        <v>929</v>
      </c>
      <c r="D1136" s="13" t="s">
        <v>23</v>
      </c>
      <c r="E1136" s="13" t="s">
        <v>5</v>
      </c>
      <c r="F1136" s="13" t="s">
        <v>7</v>
      </c>
      <c r="G1136" s="13" t="s">
        <v>166</v>
      </c>
      <c r="H1136" s="13" t="s">
        <v>2</v>
      </c>
      <c r="I1136" s="13" t="s">
        <v>397</v>
      </c>
      <c r="J1136" s="26" t="s">
        <v>77</v>
      </c>
      <c r="K1136" s="17">
        <v>350</v>
      </c>
      <c r="L1136" s="17">
        <v>350</v>
      </c>
      <c r="M1136" s="17">
        <f t="shared" si="134"/>
        <v>100</v>
      </c>
    </row>
    <row r="1137" spans="1:13" ht="31.5" x14ac:dyDescent="0.2">
      <c r="A1137" s="85"/>
      <c r="B1137" s="33" t="s">
        <v>386</v>
      </c>
      <c r="C1137" s="26" t="s">
        <v>31</v>
      </c>
      <c r="D1137" s="13" t="s">
        <v>23</v>
      </c>
      <c r="E1137" s="13" t="s">
        <v>5</v>
      </c>
      <c r="F1137" s="13" t="s">
        <v>7</v>
      </c>
      <c r="G1137" s="13" t="s">
        <v>166</v>
      </c>
      <c r="H1137" s="13" t="s">
        <v>2</v>
      </c>
      <c r="I1137" s="13" t="s">
        <v>385</v>
      </c>
      <c r="J1137" s="26"/>
      <c r="K1137" s="17">
        <f>K1138</f>
        <v>1458.6</v>
      </c>
      <c r="L1137" s="17">
        <f>L1138</f>
        <v>1215.4000000000001</v>
      </c>
      <c r="M1137" s="17">
        <f t="shared" si="134"/>
        <v>83.326477444124521</v>
      </c>
    </row>
    <row r="1138" spans="1:13" ht="30" customHeight="1" x14ac:dyDescent="0.2">
      <c r="A1138" s="85"/>
      <c r="B1138" s="53" t="s">
        <v>173</v>
      </c>
      <c r="C1138" s="26" t="s">
        <v>31</v>
      </c>
      <c r="D1138" s="13" t="s">
        <v>23</v>
      </c>
      <c r="E1138" s="13" t="s">
        <v>5</v>
      </c>
      <c r="F1138" s="13" t="s">
        <v>7</v>
      </c>
      <c r="G1138" s="13" t="s">
        <v>166</v>
      </c>
      <c r="H1138" s="13" t="s">
        <v>2</v>
      </c>
      <c r="I1138" s="13" t="s">
        <v>385</v>
      </c>
      <c r="J1138" s="26" t="s">
        <v>77</v>
      </c>
      <c r="K1138" s="17">
        <f>1193.6+178.4+75.3+11.3</f>
        <v>1458.6</v>
      </c>
      <c r="L1138" s="17">
        <v>1215.4000000000001</v>
      </c>
      <c r="M1138" s="17">
        <f t="shared" si="134"/>
        <v>83.326477444124521</v>
      </c>
    </row>
    <row r="1139" spans="1:13" s="12" customFormat="1" ht="31.5" x14ac:dyDescent="0.2">
      <c r="A1139" s="85"/>
      <c r="B1139" s="33" t="s">
        <v>483</v>
      </c>
      <c r="C1139" s="26" t="s">
        <v>31</v>
      </c>
      <c r="D1139" s="13" t="s">
        <v>23</v>
      </c>
      <c r="E1139" s="13" t="s">
        <v>5</v>
      </c>
      <c r="F1139" s="13" t="s">
        <v>7</v>
      </c>
      <c r="G1139" s="13" t="s">
        <v>166</v>
      </c>
      <c r="H1139" s="13" t="s">
        <v>2</v>
      </c>
      <c r="I1139" s="13" t="s">
        <v>482</v>
      </c>
      <c r="J1139" s="26"/>
      <c r="K1139" s="17">
        <f>SUM(K1140)</f>
        <v>5120</v>
      </c>
      <c r="L1139" s="17">
        <f>SUM(L1140)</f>
        <v>4408.8999999999996</v>
      </c>
      <c r="M1139" s="17">
        <f t="shared" si="134"/>
        <v>86.111328125</v>
      </c>
    </row>
    <row r="1140" spans="1:13" s="12" customFormat="1" ht="31.5" x14ac:dyDescent="0.2">
      <c r="A1140" s="85"/>
      <c r="B1140" s="33" t="s">
        <v>173</v>
      </c>
      <c r="C1140" s="26" t="s">
        <v>31</v>
      </c>
      <c r="D1140" s="13" t="s">
        <v>23</v>
      </c>
      <c r="E1140" s="13" t="s">
        <v>5</v>
      </c>
      <c r="F1140" s="13" t="s">
        <v>7</v>
      </c>
      <c r="G1140" s="13" t="s">
        <v>166</v>
      </c>
      <c r="H1140" s="13" t="s">
        <v>2</v>
      </c>
      <c r="I1140" s="13" t="s">
        <v>482</v>
      </c>
      <c r="J1140" s="26" t="s">
        <v>77</v>
      </c>
      <c r="K1140" s="17">
        <v>5120</v>
      </c>
      <c r="L1140" s="17">
        <v>4408.8999999999996</v>
      </c>
      <c r="M1140" s="17">
        <f t="shared" si="134"/>
        <v>86.111328125</v>
      </c>
    </row>
    <row r="1141" spans="1:13" s="12" customFormat="1" x14ac:dyDescent="0.2">
      <c r="A1141" s="85"/>
      <c r="B1141" s="53" t="s">
        <v>300</v>
      </c>
      <c r="C1141" s="26" t="s">
        <v>31</v>
      </c>
      <c r="D1141" s="13" t="s">
        <v>23</v>
      </c>
      <c r="E1141" s="13" t="s">
        <v>5</v>
      </c>
      <c r="F1141" s="13" t="s">
        <v>7</v>
      </c>
      <c r="G1141" s="13" t="s">
        <v>189</v>
      </c>
      <c r="H1141" s="13"/>
      <c r="I1141" s="13"/>
      <c r="J1141" s="13"/>
      <c r="K1141" s="17">
        <f t="shared" ref="K1141:L1142" si="136">SUM(K1142)</f>
        <v>1513.8</v>
      </c>
      <c r="L1141" s="17">
        <f t="shared" si="136"/>
        <v>1282.8</v>
      </c>
      <c r="M1141" s="17">
        <f t="shared" si="134"/>
        <v>84.740388426476414</v>
      </c>
    </row>
    <row r="1142" spans="1:13" s="12" customFormat="1" ht="64.900000000000006" customHeight="1" x14ac:dyDescent="0.2">
      <c r="A1142" s="85"/>
      <c r="B1142" s="53" t="s">
        <v>228</v>
      </c>
      <c r="C1142" s="26" t="s">
        <v>31</v>
      </c>
      <c r="D1142" s="13" t="s">
        <v>23</v>
      </c>
      <c r="E1142" s="13" t="s">
        <v>5</v>
      </c>
      <c r="F1142" s="13" t="s">
        <v>7</v>
      </c>
      <c r="G1142" s="13" t="s">
        <v>189</v>
      </c>
      <c r="H1142" s="13" t="s">
        <v>2</v>
      </c>
      <c r="I1142" s="13"/>
      <c r="J1142" s="13"/>
      <c r="K1142" s="17">
        <f t="shared" si="136"/>
        <v>1513.8</v>
      </c>
      <c r="L1142" s="17">
        <f t="shared" si="136"/>
        <v>1282.8</v>
      </c>
      <c r="M1142" s="17">
        <f t="shared" si="134"/>
        <v>84.740388426476414</v>
      </c>
    </row>
    <row r="1143" spans="1:13" s="12" customFormat="1" ht="50.45" customHeight="1" x14ac:dyDescent="0.2">
      <c r="A1143" s="85"/>
      <c r="B1143" s="53" t="s">
        <v>301</v>
      </c>
      <c r="C1143" s="26" t="s">
        <v>31</v>
      </c>
      <c r="D1143" s="13" t="s">
        <v>23</v>
      </c>
      <c r="E1143" s="13" t="s">
        <v>5</v>
      </c>
      <c r="F1143" s="13" t="s">
        <v>7</v>
      </c>
      <c r="G1143" s="13" t="s">
        <v>189</v>
      </c>
      <c r="H1143" s="13" t="s">
        <v>2</v>
      </c>
      <c r="I1143" s="13" t="s">
        <v>229</v>
      </c>
      <c r="J1143" s="13"/>
      <c r="K1143" s="17">
        <f>SUM(K1144:K1147)</f>
        <v>1513.8</v>
      </c>
      <c r="L1143" s="17">
        <f>SUM(L1144:L1147)</f>
        <v>1282.8</v>
      </c>
      <c r="M1143" s="17">
        <f t="shared" si="134"/>
        <v>84.740388426476414</v>
      </c>
    </row>
    <row r="1144" spans="1:13" s="12" customFormat="1" ht="79.900000000000006" customHeight="1" x14ac:dyDescent="0.2">
      <c r="A1144" s="85"/>
      <c r="B1144" s="53" t="s">
        <v>174</v>
      </c>
      <c r="C1144" s="26" t="s">
        <v>31</v>
      </c>
      <c r="D1144" s="13" t="s">
        <v>23</v>
      </c>
      <c r="E1144" s="13" t="s">
        <v>5</v>
      </c>
      <c r="F1144" s="13" t="s">
        <v>7</v>
      </c>
      <c r="G1144" s="13" t="s">
        <v>189</v>
      </c>
      <c r="H1144" s="13" t="s">
        <v>2</v>
      </c>
      <c r="I1144" s="13" t="s">
        <v>229</v>
      </c>
      <c r="J1144" s="13" t="s">
        <v>56</v>
      </c>
      <c r="K1144" s="17">
        <v>0</v>
      </c>
      <c r="L1144" s="17">
        <v>0</v>
      </c>
      <c r="M1144" s="17"/>
    </row>
    <row r="1145" spans="1:13" s="12" customFormat="1" ht="31.5" x14ac:dyDescent="0.2">
      <c r="A1145" s="85"/>
      <c r="B1145" s="33" t="s">
        <v>175</v>
      </c>
      <c r="C1145" s="26" t="s">
        <v>31</v>
      </c>
      <c r="D1145" s="13" t="s">
        <v>23</v>
      </c>
      <c r="E1145" s="13" t="s">
        <v>5</v>
      </c>
      <c r="F1145" s="13" t="s">
        <v>7</v>
      </c>
      <c r="G1145" s="13" t="s">
        <v>189</v>
      </c>
      <c r="H1145" s="13" t="s">
        <v>2</v>
      </c>
      <c r="I1145" s="13" t="s">
        <v>229</v>
      </c>
      <c r="J1145" s="13" t="s">
        <v>58</v>
      </c>
      <c r="K1145" s="17">
        <v>1416.3</v>
      </c>
      <c r="L1145" s="17">
        <v>1186.3</v>
      </c>
      <c r="M1145" s="17">
        <f t="shared" si="134"/>
        <v>83.760502718350622</v>
      </c>
    </row>
    <row r="1146" spans="1:13" s="12" customFormat="1" ht="19.899999999999999" customHeight="1" x14ac:dyDescent="0.2">
      <c r="A1146" s="85"/>
      <c r="B1146" s="33" t="s">
        <v>69</v>
      </c>
      <c r="C1146" s="26" t="s">
        <v>31</v>
      </c>
      <c r="D1146" s="13" t="s">
        <v>23</v>
      </c>
      <c r="E1146" s="13" t="s">
        <v>5</v>
      </c>
      <c r="F1146" s="13" t="s">
        <v>7</v>
      </c>
      <c r="G1146" s="13" t="s">
        <v>189</v>
      </c>
      <c r="H1146" s="13" t="s">
        <v>2</v>
      </c>
      <c r="I1146" s="13" t="s">
        <v>229</v>
      </c>
      <c r="J1146" s="13" t="s">
        <v>70</v>
      </c>
      <c r="K1146" s="17">
        <v>50</v>
      </c>
      <c r="L1146" s="17">
        <v>49</v>
      </c>
      <c r="M1146" s="17">
        <f t="shared" si="134"/>
        <v>98</v>
      </c>
    </row>
    <row r="1147" spans="1:13" ht="31.5" customHeight="1" x14ac:dyDescent="0.2">
      <c r="A1147" s="85"/>
      <c r="B1147" s="53" t="s">
        <v>173</v>
      </c>
      <c r="C1147" s="26" t="s">
        <v>31</v>
      </c>
      <c r="D1147" s="13" t="s">
        <v>23</v>
      </c>
      <c r="E1147" s="13" t="s">
        <v>5</v>
      </c>
      <c r="F1147" s="13" t="s">
        <v>7</v>
      </c>
      <c r="G1147" s="13" t="s">
        <v>189</v>
      </c>
      <c r="H1147" s="13" t="s">
        <v>2</v>
      </c>
      <c r="I1147" s="13" t="s">
        <v>229</v>
      </c>
      <c r="J1147" s="13" t="s">
        <v>77</v>
      </c>
      <c r="K1147" s="17">
        <f>47.5+394.8-394.8</f>
        <v>47.5</v>
      </c>
      <c r="L1147" s="17">
        <v>47.5</v>
      </c>
      <c r="M1147" s="17">
        <f t="shared" si="134"/>
        <v>100</v>
      </c>
    </row>
    <row r="1148" spans="1:13" ht="47.25" x14ac:dyDescent="0.2">
      <c r="A1148" s="85"/>
      <c r="B1148" s="50" t="s">
        <v>252</v>
      </c>
      <c r="C1148" s="26" t="s">
        <v>31</v>
      </c>
      <c r="D1148" s="13" t="s">
        <v>23</v>
      </c>
      <c r="E1148" s="13" t="s">
        <v>5</v>
      </c>
      <c r="F1148" s="13" t="s">
        <v>30</v>
      </c>
      <c r="G1148" s="13"/>
      <c r="H1148" s="13"/>
      <c r="I1148" s="13"/>
      <c r="J1148" s="13"/>
      <c r="K1148" s="17">
        <f t="shared" ref="K1148:L1151" si="137">K1149</f>
        <v>537.29999999999995</v>
      </c>
      <c r="L1148" s="17">
        <f t="shared" si="137"/>
        <v>537.20000000000005</v>
      </c>
      <c r="M1148" s="17">
        <f t="shared" si="134"/>
        <v>99.981388423599498</v>
      </c>
    </row>
    <row r="1149" spans="1:13" ht="48.6" customHeight="1" x14ac:dyDescent="0.2">
      <c r="A1149" s="85"/>
      <c r="B1149" s="66" t="s">
        <v>282</v>
      </c>
      <c r="C1149" s="26" t="s">
        <v>31</v>
      </c>
      <c r="D1149" s="13" t="s">
        <v>23</v>
      </c>
      <c r="E1149" s="13" t="s">
        <v>5</v>
      </c>
      <c r="F1149" s="13" t="s">
        <v>30</v>
      </c>
      <c r="G1149" s="13" t="s">
        <v>126</v>
      </c>
      <c r="H1149" s="13"/>
      <c r="I1149" s="13"/>
      <c r="J1149" s="13"/>
      <c r="K1149" s="17">
        <f t="shared" si="137"/>
        <v>537.29999999999995</v>
      </c>
      <c r="L1149" s="17">
        <f t="shared" si="137"/>
        <v>537.20000000000005</v>
      </c>
      <c r="M1149" s="17">
        <f t="shared" si="134"/>
        <v>99.981388423599498</v>
      </c>
    </row>
    <row r="1150" spans="1:13" ht="48" customHeight="1" x14ac:dyDescent="0.2">
      <c r="A1150" s="85"/>
      <c r="B1150" s="50" t="s">
        <v>107</v>
      </c>
      <c r="C1150" s="26" t="s">
        <v>31</v>
      </c>
      <c r="D1150" s="13" t="s">
        <v>23</v>
      </c>
      <c r="E1150" s="13" t="s">
        <v>5</v>
      </c>
      <c r="F1150" s="13" t="s">
        <v>30</v>
      </c>
      <c r="G1150" s="13" t="s">
        <v>126</v>
      </c>
      <c r="H1150" s="13" t="s">
        <v>2</v>
      </c>
      <c r="I1150" s="13"/>
      <c r="J1150" s="13"/>
      <c r="K1150" s="17">
        <f t="shared" si="137"/>
        <v>537.29999999999995</v>
      </c>
      <c r="L1150" s="17">
        <f t="shared" si="137"/>
        <v>537.20000000000005</v>
      </c>
      <c r="M1150" s="17">
        <f t="shared" si="134"/>
        <v>99.981388423599498</v>
      </c>
    </row>
    <row r="1151" spans="1:13" ht="31.5" customHeight="1" x14ac:dyDescent="0.2">
      <c r="A1151" s="85"/>
      <c r="B1151" s="50" t="s">
        <v>516</v>
      </c>
      <c r="C1151" s="26" t="s">
        <v>31</v>
      </c>
      <c r="D1151" s="13" t="s">
        <v>23</v>
      </c>
      <c r="E1151" s="13" t="s">
        <v>5</v>
      </c>
      <c r="F1151" s="13" t="s">
        <v>30</v>
      </c>
      <c r="G1151" s="13" t="s">
        <v>126</v>
      </c>
      <c r="H1151" s="13" t="s">
        <v>2</v>
      </c>
      <c r="I1151" s="13" t="s">
        <v>515</v>
      </c>
      <c r="J1151" s="13"/>
      <c r="K1151" s="17">
        <f t="shared" si="137"/>
        <v>537.29999999999995</v>
      </c>
      <c r="L1151" s="17">
        <f t="shared" si="137"/>
        <v>537.20000000000005</v>
      </c>
      <c r="M1151" s="17">
        <f t="shared" si="134"/>
        <v>99.981388423599498</v>
      </c>
    </row>
    <row r="1152" spans="1:13" ht="35.450000000000003" customHeight="1" x14ac:dyDescent="0.2">
      <c r="A1152" s="85"/>
      <c r="B1152" s="33" t="s">
        <v>76</v>
      </c>
      <c r="C1152" s="26" t="s">
        <v>31</v>
      </c>
      <c r="D1152" s="13" t="s">
        <v>23</v>
      </c>
      <c r="E1152" s="13" t="s">
        <v>5</v>
      </c>
      <c r="F1152" s="13" t="s">
        <v>30</v>
      </c>
      <c r="G1152" s="13" t="s">
        <v>126</v>
      </c>
      <c r="H1152" s="13" t="s">
        <v>2</v>
      </c>
      <c r="I1152" s="13" t="s">
        <v>515</v>
      </c>
      <c r="J1152" s="13" t="s">
        <v>77</v>
      </c>
      <c r="K1152" s="17">
        <f>187.3+350</f>
        <v>537.29999999999995</v>
      </c>
      <c r="L1152" s="17">
        <v>537.20000000000005</v>
      </c>
      <c r="M1152" s="17">
        <f t="shared" si="134"/>
        <v>99.981388423599498</v>
      </c>
    </row>
    <row r="1153" spans="1:13" ht="48" customHeight="1" x14ac:dyDescent="0.2">
      <c r="A1153" s="85"/>
      <c r="B1153" s="50" t="s">
        <v>356</v>
      </c>
      <c r="C1153" s="26" t="s">
        <v>31</v>
      </c>
      <c r="D1153" s="13" t="s">
        <v>23</v>
      </c>
      <c r="E1153" s="13" t="s">
        <v>5</v>
      </c>
      <c r="F1153" s="13" t="s">
        <v>41</v>
      </c>
      <c r="G1153" s="13"/>
      <c r="H1153" s="13"/>
      <c r="I1153" s="13"/>
      <c r="J1153" s="13"/>
      <c r="K1153" s="17">
        <f>K1154+K1158</f>
        <v>15401.699999999999</v>
      </c>
      <c r="L1153" s="17">
        <f>L1154+L1158</f>
        <v>12985.599999999999</v>
      </c>
      <c r="M1153" s="17">
        <f t="shared" si="134"/>
        <v>84.312770668172988</v>
      </c>
    </row>
    <row r="1154" spans="1:13" ht="22.15" customHeight="1" x14ac:dyDescent="0.2">
      <c r="A1154" s="85"/>
      <c r="B1154" s="54" t="s">
        <v>277</v>
      </c>
      <c r="C1154" s="26" t="s">
        <v>31</v>
      </c>
      <c r="D1154" s="13" t="s">
        <v>23</v>
      </c>
      <c r="E1154" s="13" t="s">
        <v>5</v>
      </c>
      <c r="F1154" s="13" t="s">
        <v>41</v>
      </c>
      <c r="G1154" s="13" t="s">
        <v>166</v>
      </c>
      <c r="H1154" s="13"/>
      <c r="I1154" s="13"/>
      <c r="J1154" s="13"/>
      <c r="K1154" s="17">
        <f t="shared" ref="K1154:L1156" si="138">K1155</f>
        <v>1760.3</v>
      </c>
      <c r="L1154" s="17">
        <f t="shared" si="138"/>
        <v>1760.3</v>
      </c>
      <c r="M1154" s="17">
        <f t="shared" si="134"/>
        <v>100</v>
      </c>
    </row>
    <row r="1155" spans="1:13" ht="37.15" customHeight="1" x14ac:dyDescent="0.2">
      <c r="A1155" s="85"/>
      <c r="B1155" s="33" t="s">
        <v>355</v>
      </c>
      <c r="C1155" s="26" t="s">
        <v>31</v>
      </c>
      <c r="D1155" s="13" t="s">
        <v>23</v>
      </c>
      <c r="E1155" s="13" t="s">
        <v>5</v>
      </c>
      <c r="F1155" s="13" t="s">
        <v>41</v>
      </c>
      <c r="G1155" s="13" t="s">
        <v>166</v>
      </c>
      <c r="H1155" s="13" t="s">
        <v>4</v>
      </c>
      <c r="I1155" s="13"/>
      <c r="J1155" s="26"/>
      <c r="K1155" s="17">
        <f t="shared" si="138"/>
        <v>1760.3</v>
      </c>
      <c r="L1155" s="17">
        <f t="shared" si="138"/>
        <v>1760.3</v>
      </c>
      <c r="M1155" s="17">
        <f t="shared" si="134"/>
        <v>100</v>
      </c>
    </row>
    <row r="1156" spans="1:13" ht="65.45" customHeight="1" x14ac:dyDescent="0.2">
      <c r="A1156" s="85"/>
      <c r="B1156" s="33" t="s">
        <v>401</v>
      </c>
      <c r="C1156" s="26" t="s">
        <v>31</v>
      </c>
      <c r="D1156" s="13" t="s">
        <v>23</v>
      </c>
      <c r="E1156" s="13" t="s">
        <v>5</v>
      </c>
      <c r="F1156" s="13" t="s">
        <v>41</v>
      </c>
      <c r="G1156" s="13" t="s">
        <v>166</v>
      </c>
      <c r="H1156" s="13" t="s">
        <v>4</v>
      </c>
      <c r="I1156" s="13" t="s">
        <v>354</v>
      </c>
      <c r="J1156" s="26"/>
      <c r="K1156" s="17">
        <f t="shared" si="138"/>
        <v>1760.3</v>
      </c>
      <c r="L1156" s="17">
        <f t="shared" si="138"/>
        <v>1760.3</v>
      </c>
      <c r="M1156" s="17">
        <f t="shared" si="134"/>
        <v>100</v>
      </c>
    </row>
    <row r="1157" spans="1:13" ht="31.5" x14ac:dyDescent="0.2">
      <c r="A1157" s="85"/>
      <c r="B1157" s="33" t="s">
        <v>76</v>
      </c>
      <c r="C1157" s="26" t="s">
        <v>31</v>
      </c>
      <c r="D1157" s="13" t="s">
        <v>23</v>
      </c>
      <c r="E1157" s="13" t="s">
        <v>5</v>
      </c>
      <c r="F1157" s="13" t="s">
        <v>41</v>
      </c>
      <c r="G1157" s="13" t="s">
        <v>166</v>
      </c>
      <c r="H1157" s="13" t="s">
        <v>4</v>
      </c>
      <c r="I1157" s="13" t="s">
        <v>354</v>
      </c>
      <c r="J1157" s="26" t="s">
        <v>77</v>
      </c>
      <c r="K1157" s="17">
        <v>1760.3</v>
      </c>
      <c r="L1157" s="17">
        <v>1760.3</v>
      </c>
      <c r="M1157" s="17">
        <f t="shared" si="134"/>
        <v>100</v>
      </c>
    </row>
    <row r="1158" spans="1:13" ht="47.25" x14ac:dyDescent="0.2">
      <c r="A1158" s="85"/>
      <c r="B1158" s="50" t="s">
        <v>217</v>
      </c>
      <c r="C1158" s="26" t="s">
        <v>31</v>
      </c>
      <c r="D1158" s="13" t="s">
        <v>23</v>
      </c>
      <c r="E1158" s="13" t="s">
        <v>5</v>
      </c>
      <c r="F1158" s="13" t="s">
        <v>41</v>
      </c>
      <c r="G1158" s="13" t="s">
        <v>204</v>
      </c>
      <c r="H1158" s="13"/>
      <c r="I1158" s="13"/>
      <c r="J1158" s="26"/>
      <c r="K1158" s="17">
        <f t="shared" ref="K1158:L1160" si="139">K1159</f>
        <v>13641.4</v>
      </c>
      <c r="L1158" s="17">
        <f t="shared" si="139"/>
        <v>11225.3</v>
      </c>
      <c r="M1158" s="17">
        <f t="shared" si="134"/>
        <v>82.288474789977556</v>
      </c>
    </row>
    <row r="1159" spans="1:13" ht="48" customHeight="1" x14ac:dyDescent="0.2">
      <c r="A1159" s="85"/>
      <c r="B1159" s="50" t="s">
        <v>203</v>
      </c>
      <c r="C1159" s="26" t="s">
        <v>31</v>
      </c>
      <c r="D1159" s="13" t="s">
        <v>23</v>
      </c>
      <c r="E1159" s="13" t="s">
        <v>5</v>
      </c>
      <c r="F1159" s="13" t="s">
        <v>41</v>
      </c>
      <c r="G1159" s="13" t="s">
        <v>204</v>
      </c>
      <c r="H1159" s="13" t="s">
        <v>2</v>
      </c>
      <c r="I1159" s="13"/>
      <c r="J1159" s="26"/>
      <c r="K1159" s="17">
        <f t="shared" si="139"/>
        <v>13641.4</v>
      </c>
      <c r="L1159" s="17">
        <f t="shared" si="139"/>
        <v>11225.3</v>
      </c>
      <c r="M1159" s="17">
        <f t="shared" si="134"/>
        <v>82.288474789977556</v>
      </c>
    </row>
    <row r="1160" spans="1:13" ht="82.15" customHeight="1" x14ac:dyDescent="0.2">
      <c r="A1160" s="85"/>
      <c r="B1160" s="50" t="s">
        <v>285</v>
      </c>
      <c r="C1160" s="26" t="s">
        <v>31</v>
      </c>
      <c r="D1160" s="13" t="s">
        <v>23</v>
      </c>
      <c r="E1160" s="13" t="s">
        <v>5</v>
      </c>
      <c r="F1160" s="13" t="s">
        <v>41</v>
      </c>
      <c r="G1160" s="13" t="s">
        <v>204</v>
      </c>
      <c r="H1160" s="13" t="s">
        <v>2</v>
      </c>
      <c r="I1160" s="13" t="s">
        <v>226</v>
      </c>
      <c r="J1160" s="26"/>
      <c r="K1160" s="17">
        <f t="shared" si="139"/>
        <v>13641.4</v>
      </c>
      <c r="L1160" s="17">
        <f t="shared" si="139"/>
        <v>11225.3</v>
      </c>
      <c r="M1160" s="17">
        <f t="shared" si="134"/>
        <v>82.288474789977556</v>
      </c>
    </row>
    <row r="1161" spans="1:13" ht="34.5" customHeight="1" x14ac:dyDescent="0.2">
      <c r="A1161" s="85"/>
      <c r="B1161" s="33" t="s">
        <v>76</v>
      </c>
      <c r="C1161" s="26" t="s">
        <v>31</v>
      </c>
      <c r="D1161" s="13" t="s">
        <v>23</v>
      </c>
      <c r="E1161" s="13" t="s">
        <v>5</v>
      </c>
      <c r="F1161" s="13" t="s">
        <v>41</v>
      </c>
      <c r="G1161" s="13" t="s">
        <v>204</v>
      </c>
      <c r="H1161" s="13" t="s">
        <v>2</v>
      </c>
      <c r="I1161" s="13" t="s">
        <v>226</v>
      </c>
      <c r="J1161" s="26" t="s">
        <v>77</v>
      </c>
      <c r="K1161" s="17">
        <v>13641.4</v>
      </c>
      <c r="L1161" s="17">
        <v>11225.3</v>
      </c>
      <c r="M1161" s="17">
        <f t="shared" si="134"/>
        <v>82.288474789977556</v>
      </c>
    </row>
    <row r="1162" spans="1:13" ht="50.45" customHeight="1" x14ac:dyDescent="0.2">
      <c r="A1162" s="85"/>
      <c r="B1162" s="33" t="s">
        <v>84</v>
      </c>
      <c r="C1162" s="26" t="s">
        <v>31</v>
      </c>
      <c r="D1162" s="13" t="s">
        <v>23</v>
      </c>
      <c r="E1162" s="13" t="s">
        <v>5</v>
      </c>
      <c r="F1162" s="13" t="s">
        <v>141</v>
      </c>
      <c r="G1162" s="25"/>
      <c r="H1162" s="13"/>
      <c r="I1162" s="13"/>
      <c r="J1162" s="26"/>
      <c r="K1162" s="17">
        <f t="shared" ref="K1162:L1164" si="140">K1163</f>
        <v>166.3</v>
      </c>
      <c r="L1162" s="17">
        <f t="shared" si="140"/>
        <v>166.3</v>
      </c>
      <c r="M1162" s="17">
        <f t="shared" si="134"/>
        <v>100</v>
      </c>
    </row>
    <row r="1163" spans="1:13" ht="22.9" customHeight="1" x14ac:dyDescent="0.2">
      <c r="A1163" s="85"/>
      <c r="B1163" s="33" t="s">
        <v>64</v>
      </c>
      <c r="C1163" s="26" t="s">
        <v>31</v>
      </c>
      <c r="D1163" s="13" t="s">
        <v>23</v>
      </c>
      <c r="E1163" s="13" t="s">
        <v>5</v>
      </c>
      <c r="F1163" s="13" t="s">
        <v>141</v>
      </c>
      <c r="G1163" s="25">
        <v>2</v>
      </c>
      <c r="H1163" s="13"/>
      <c r="I1163" s="13"/>
      <c r="J1163" s="26"/>
      <c r="K1163" s="17">
        <f t="shared" si="140"/>
        <v>166.3</v>
      </c>
      <c r="L1163" s="17">
        <f t="shared" si="140"/>
        <v>166.3</v>
      </c>
      <c r="M1163" s="17">
        <f t="shared" si="134"/>
        <v>100</v>
      </c>
    </row>
    <row r="1164" spans="1:13" ht="37.15" customHeight="1" x14ac:dyDescent="0.2">
      <c r="A1164" s="85"/>
      <c r="B1164" s="33" t="s">
        <v>83</v>
      </c>
      <c r="C1164" s="26" t="s">
        <v>31</v>
      </c>
      <c r="D1164" s="13" t="s">
        <v>23</v>
      </c>
      <c r="E1164" s="13" t="s">
        <v>5</v>
      </c>
      <c r="F1164" s="13" t="s">
        <v>141</v>
      </c>
      <c r="G1164" s="25">
        <v>2</v>
      </c>
      <c r="H1164" s="13" t="s">
        <v>102</v>
      </c>
      <c r="I1164" s="13" t="s">
        <v>143</v>
      </c>
      <c r="J1164" s="26"/>
      <c r="K1164" s="17">
        <f t="shared" si="140"/>
        <v>166.3</v>
      </c>
      <c r="L1164" s="17">
        <f t="shared" si="140"/>
        <v>166.3</v>
      </c>
      <c r="M1164" s="17">
        <f t="shared" si="134"/>
        <v>100</v>
      </c>
    </row>
    <row r="1165" spans="1:13" ht="31.5" x14ac:dyDescent="0.2">
      <c r="A1165" s="85"/>
      <c r="B1165" s="33" t="s">
        <v>76</v>
      </c>
      <c r="C1165" s="26" t="s">
        <v>31</v>
      </c>
      <c r="D1165" s="13" t="s">
        <v>23</v>
      </c>
      <c r="E1165" s="13" t="s">
        <v>5</v>
      </c>
      <c r="F1165" s="13" t="s">
        <v>141</v>
      </c>
      <c r="G1165" s="25">
        <v>2</v>
      </c>
      <c r="H1165" s="13" t="s">
        <v>102</v>
      </c>
      <c r="I1165" s="13" t="s">
        <v>143</v>
      </c>
      <c r="J1165" s="26" t="s">
        <v>77</v>
      </c>
      <c r="K1165" s="17">
        <v>166.3</v>
      </c>
      <c r="L1165" s="17">
        <v>166.3</v>
      </c>
      <c r="M1165" s="17">
        <f t="shared" si="134"/>
        <v>100</v>
      </c>
    </row>
    <row r="1166" spans="1:13" ht="31.5" x14ac:dyDescent="0.2">
      <c r="A1166" s="85"/>
      <c r="B1166" s="68" t="s">
        <v>86</v>
      </c>
      <c r="C1166" s="26">
        <v>929</v>
      </c>
      <c r="D1166" s="13" t="s">
        <v>23</v>
      </c>
      <c r="E1166" s="13" t="s">
        <v>7</v>
      </c>
      <c r="F1166" s="13"/>
      <c r="G1166" s="13"/>
      <c r="H1166" s="13"/>
      <c r="I1166" s="13"/>
      <c r="J1166" s="13"/>
      <c r="K1166" s="17">
        <f>K1167+K1176</f>
        <v>4753.9000000000015</v>
      </c>
      <c r="L1166" s="17">
        <f>L1167+L1176</f>
        <v>3233.6000000000004</v>
      </c>
      <c r="M1166" s="17">
        <f t="shared" si="134"/>
        <v>68.019941521697959</v>
      </c>
    </row>
    <row r="1167" spans="1:13" ht="33.6" customHeight="1" x14ac:dyDescent="0.2">
      <c r="A1167" s="85"/>
      <c r="B1167" s="68" t="s">
        <v>296</v>
      </c>
      <c r="C1167" s="26" t="s">
        <v>31</v>
      </c>
      <c r="D1167" s="13" t="s">
        <v>23</v>
      </c>
      <c r="E1167" s="13" t="s">
        <v>7</v>
      </c>
      <c r="F1167" s="13" t="s">
        <v>7</v>
      </c>
      <c r="G1167" s="13"/>
      <c r="H1167" s="13"/>
      <c r="I1167" s="13"/>
      <c r="J1167" s="13"/>
      <c r="K1167" s="17">
        <f t="shared" ref="K1167:L1168" si="141">SUM(K1168)</f>
        <v>4252.6000000000013</v>
      </c>
      <c r="L1167" s="17">
        <f t="shared" si="141"/>
        <v>2768.8</v>
      </c>
      <c r="M1167" s="17">
        <f t="shared" si="134"/>
        <v>65.10840427032872</v>
      </c>
    </row>
    <row r="1168" spans="1:13" ht="63" x14ac:dyDescent="0.2">
      <c r="A1168" s="85"/>
      <c r="B1168" s="68" t="s">
        <v>302</v>
      </c>
      <c r="C1168" s="26" t="s">
        <v>31</v>
      </c>
      <c r="D1168" s="13" t="s">
        <v>23</v>
      </c>
      <c r="E1168" s="13" t="s">
        <v>7</v>
      </c>
      <c r="F1168" s="13" t="s">
        <v>7</v>
      </c>
      <c r="G1168" s="13" t="s">
        <v>126</v>
      </c>
      <c r="H1168" s="13"/>
      <c r="I1168" s="13"/>
      <c r="J1168" s="13"/>
      <c r="K1168" s="17">
        <f t="shared" si="141"/>
        <v>4252.6000000000013</v>
      </c>
      <c r="L1168" s="17">
        <f t="shared" si="141"/>
        <v>2768.8</v>
      </c>
      <c r="M1168" s="17">
        <f t="shared" si="134"/>
        <v>65.10840427032872</v>
      </c>
    </row>
    <row r="1169" spans="1:13" ht="47.25" x14ac:dyDescent="0.2">
      <c r="A1169" s="85"/>
      <c r="B1169" s="68" t="s">
        <v>170</v>
      </c>
      <c r="C1169" s="26" t="s">
        <v>31</v>
      </c>
      <c r="D1169" s="13" t="s">
        <v>23</v>
      </c>
      <c r="E1169" s="13" t="s">
        <v>7</v>
      </c>
      <c r="F1169" s="13" t="s">
        <v>7</v>
      </c>
      <c r="G1169" s="13" t="s">
        <v>126</v>
      </c>
      <c r="H1169" s="13" t="s">
        <v>2</v>
      </c>
      <c r="I1169" s="13"/>
      <c r="J1169" s="13"/>
      <c r="K1169" s="17">
        <f>SUM(K1170+K1174)</f>
        <v>4252.6000000000013</v>
      </c>
      <c r="L1169" s="17">
        <f>SUM(L1170+L1174)</f>
        <v>2768.8</v>
      </c>
      <c r="M1169" s="17">
        <f t="shared" si="134"/>
        <v>65.10840427032872</v>
      </c>
    </row>
    <row r="1170" spans="1:13" ht="31.5" x14ac:dyDescent="0.2">
      <c r="A1170" s="85"/>
      <c r="B1170" s="33" t="s">
        <v>54</v>
      </c>
      <c r="C1170" s="26" t="s">
        <v>31</v>
      </c>
      <c r="D1170" s="13" t="s">
        <v>23</v>
      </c>
      <c r="E1170" s="13" t="s">
        <v>7</v>
      </c>
      <c r="F1170" s="13" t="s">
        <v>7</v>
      </c>
      <c r="G1170" s="13" t="s">
        <v>126</v>
      </c>
      <c r="H1170" s="13" t="s">
        <v>2</v>
      </c>
      <c r="I1170" s="13" t="s">
        <v>104</v>
      </c>
      <c r="J1170" s="13"/>
      <c r="K1170" s="17">
        <f>SUM(K1171:K1173)</f>
        <v>4232.5000000000009</v>
      </c>
      <c r="L1170" s="17">
        <f>SUM(L1171:L1173)</f>
        <v>2768.8</v>
      </c>
      <c r="M1170" s="17">
        <f t="shared" si="134"/>
        <v>65.417601890135842</v>
      </c>
    </row>
    <row r="1171" spans="1:13" ht="47.25" x14ac:dyDescent="0.2">
      <c r="A1171" s="85"/>
      <c r="B1171" s="33" t="s">
        <v>55</v>
      </c>
      <c r="C1171" s="26" t="s">
        <v>31</v>
      </c>
      <c r="D1171" s="13" t="s">
        <v>23</v>
      </c>
      <c r="E1171" s="13" t="s">
        <v>7</v>
      </c>
      <c r="F1171" s="13" t="s">
        <v>7</v>
      </c>
      <c r="G1171" s="13" t="s">
        <v>126</v>
      </c>
      <c r="H1171" s="13" t="s">
        <v>2</v>
      </c>
      <c r="I1171" s="13" t="s">
        <v>104</v>
      </c>
      <c r="J1171" s="13" t="s">
        <v>56</v>
      </c>
      <c r="K1171" s="17">
        <f>3793.8+37.9</f>
        <v>3831.7000000000003</v>
      </c>
      <c r="L1171" s="17">
        <v>2612.3000000000002</v>
      </c>
      <c r="M1171" s="17">
        <f t="shared" si="134"/>
        <v>68.176005428399918</v>
      </c>
    </row>
    <row r="1172" spans="1:13" ht="33.6" customHeight="1" x14ac:dyDescent="0.2">
      <c r="A1172" s="85"/>
      <c r="B1172" s="33" t="s">
        <v>175</v>
      </c>
      <c r="C1172" s="26" t="s">
        <v>31</v>
      </c>
      <c r="D1172" s="13" t="s">
        <v>23</v>
      </c>
      <c r="E1172" s="13" t="s">
        <v>7</v>
      </c>
      <c r="F1172" s="13" t="s">
        <v>7</v>
      </c>
      <c r="G1172" s="13" t="s">
        <v>126</v>
      </c>
      <c r="H1172" s="13" t="s">
        <v>2</v>
      </c>
      <c r="I1172" s="13" t="s">
        <v>104</v>
      </c>
      <c r="J1172" s="13" t="s">
        <v>58</v>
      </c>
      <c r="K1172" s="17">
        <v>278.5</v>
      </c>
      <c r="L1172" s="17">
        <v>156.5</v>
      </c>
      <c r="M1172" s="17">
        <f t="shared" ref="M1172:M1235" si="142">L1172/K1172*100</f>
        <v>56.193895870736085</v>
      </c>
    </row>
    <row r="1173" spans="1:13" x14ac:dyDescent="0.2">
      <c r="A1173" s="85"/>
      <c r="B1173" s="33" t="s">
        <v>60</v>
      </c>
      <c r="C1173" s="26" t="s">
        <v>31</v>
      </c>
      <c r="D1173" s="13" t="s">
        <v>23</v>
      </c>
      <c r="E1173" s="13" t="s">
        <v>7</v>
      </c>
      <c r="F1173" s="13" t="s">
        <v>7</v>
      </c>
      <c r="G1173" s="13" t="s">
        <v>126</v>
      </c>
      <c r="H1173" s="13" t="s">
        <v>2</v>
      </c>
      <c r="I1173" s="13" t="s">
        <v>104</v>
      </c>
      <c r="J1173" s="13" t="s">
        <v>61</v>
      </c>
      <c r="K1173" s="17">
        <v>122.3</v>
      </c>
      <c r="L1173" s="17">
        <v>0</v>
      </c>
      <c r="M1173" s="17">
        <f t="shared" si="142"/>
        <v>0</v>
      </c>
    </row>
    <row r="1174" spans="1:13" ht="31.5" x14ac:dyDescent="0.2">
      <c r="A1174" s="85"/>
      <c r="B1174" s="33" t="s">
        <v>456</v>
      </c>
      <c r="C1174" s="42">
        <v>929</v>
      </c>
      <c r="D1174" s="13" t="s">
        <v>23</v>
      </c>
      <c r="E1174" s="13" t="s">
        <v>7</v>
      </c>
      <c r="F1174" s="13" t="s">
        <v>7</v>
      </c>
      <c r="G1174" s="25">
        <v>1</v>
      </c>
      <c r="H1174" s="13" t="s">
        <v>2</v>
      </c>
      <c r="I1174" s="13" t="s">
        <v>455</v>
      </c>
      <c r="J1174" s="13"/>
      <c r="K1174" s="17">
        <f>SUM(K1175)</f>
        <v>20.100000000000001</v>
      </c>
      <c r="L1174" s="17">
        <f>SUM(L1175)</f>
        <v>0</v>
      </c>
      <c r="M1174" s="17">
        <f t="shared" si="142"/>
        <v>0</v>
      </c>
    </row>
    <row r="1175" spans="1:13" ht="31.5" x14ac:dyDescent="0.2">
      <c r="A1175" s="85"/>
      <c r="B1175" s="33" t="s">
        <v>175</v>
      </c>
      <c r="C1175" s="42">
        <v>929</v>
      </c>
      <c r="D1175" s="13" t="s">
        <v>23</v>
      </c>
      <c r="E1175" s="13" t="s">
        <v>7</v>
      </c>
      <c r="F1175" s="13" t="s">
        <v>7</v>
      </c>
      <c r="G1175" s="25">
        <v>1</v>
      </c>
      <c r="H1175" s="13" t="s">
        <v>2</v>
      </c>
      <c r="I1175" s="13" t="s">
        <v>455</v>
      </c>
      <c r="J1175" s="13" t="s">
        <v>58</v>
      </c>
      <c r="K1175" s="17">
        <v>20.100000000000001</v>
      </c>
      <c r="L1175" s="17">
        <v>0</v>
      </c>
      <c r="M1175" s="17">
        <f t="shared" si="142"/>
        <v>0</v>
      </c>
    </row>
    <row r="1176" spans="1:13" ht="47.25" x14ac:dyDescent="0.2">
      <c r="A1176" s="85"/>
      <c r="B1176" s="33" t="s">
        <v>416</v>
      </c>
      <c r="C1176" s="26" t="s">
        <v>31</v>
      </c>
      <c r="D1176" s="13" t="s">
        <v>23</v>
      </c>
      <c r="E1176" s="13" t="s">
        <v>7</v>
      </c>
      <c r="F1176" s="13" t="s">
        <v>93</v>
      </c>
      <c r="G1176" s="13"/>
      <c r="H1176" s="13"/>
      <c r="I1176" s="13"/>
      <c r="J1176" s="13"/>
      <c r="K1176" s="17">
        <f t="shared" ref="K1176:L1178" si="143">K1177</f>
        <v>501.3</v>
      </c>
      <c r="L1176" s="17">
        <f t="shared" si="143"/>
        <v>464.8</v>
      </c>
      <c r="M1176" s="17">
        <f t="shared" si="142"/>
        <v>92.718930779972069</v>
      </c>
    </row>
    <row r="1177" spans="1:13" ht="48.6" customHeight="1" x14ac:dyDescent="0.2">
      <c r="A1177" s="85"/>
      <c r="B1177" s="33" t="s">
        <v>232</v>
      </c>
      <c r="C1177" s="26" t="s">
        <v>31</v>
      </c>
      <c r="D1177" s="13" t="s">
        <v>23</v>
      </c>
      <c r="E1177" s="13" t="s">
        <v>7</v>
      </c>
      <c r="F1177" s="13" t="s">
        <v>93</v>
      </c>
      <c r="G1177" s="13" t="s">
        <v>166</v>
      </c>
      <c r="H1177" s="13"/>
      <c r="I1177" s="13"/>
      <c r="J1177" s="13"/>
      <c r="K1177" s="17">
        <f t="shared" si="143"/>
        <v>501.3</v>
      </c>
      <c r="L1177" s="17">
        <f t="shared" si="143"/>
        <v>464.8</v>
      </c>
      <c r="M1177" s="17">
        <f t="shared" si="142"/>
        <v>92.718930779972069</v>
      </c>
    </row>
    <row r="1178" spans="1:13" ht="110.25" x14ac:dyDescent="0.2">
      <c r="A1178" s="85"/>
      <c r="B1178" s="67" t="s">
        <v>233</v>
      </c>
      <c r="C1178" s="26" t="s">
        <v>31</v>
      </c>
      <c r="D1178" s="13" t="s">
        <v>23</v>
      </c>
      <c r="E1178" s="13" t="s">
        <v>7</v>
      </c>
      <c r="F1178" s="13" t="s">
        <v>93</v>
      </c>
      <c r="G1178" s="13" t="s">
        <v>166</v>
      </c>
      <c r="H1178" s="13" t="s">
        <v>2</v>
      </c>
      <c r="I1178" s="13"/>
      <c r="J1178" s="13"/>
      <c r="K1178" s="17">
        <f t="shared" si="143"/>
        <v>501.3</v>
      </c>
      <c r="L1178" s="17">
        <f t="shared" si="143"/>
        <v>464.8</v>
      </c>
      <c r="M1178" s="17">
        <f t="shared" si="142"/>
        <v>92.718930779972069</v>
      </c>
    </row>
    <row r="1179" spans="1:13" ht="81" customHeight="1" x14ac:dyDescent="0.2">
      <c r="A1179" s="85"/>
      <c r="B1179" s="33" t="s">
        <v>256</v>
      </c>
      <c r="C1179" s="26" t="s">
        <v>31</v>
      </c>
      <c r="D1179" s="13" t="s">
        <v>23</v>
      </c>
      <c r="E1179" s="13" t="s">
        <v>7</v>
      </c>
      <c r="F1179" s="13" t="s">
        <v>93</v>
      </c>
      <c r="G1179" s="13" t="s">
        <v>166</v>
      </c>
      <c r="H1179" s="13" t="s">
        <v>2</v>
      </c>
      <c r="I1179" s="13" t="s">
        <v>234</v>
      </c>
      <c r="J1179" s="13"/>
      <c r="K1179" s="17">
        <f>K1180+K1181</f>
        <v>501.3</v>
      </c>
      <c r="L1179" s="17">
        <f>L1180+L1181</f>
        <v>464.8</v>
      </c>
      <c r="M1179" s="17">
        <f t="shared" si="142"/>
        <v>92.718930779972069</v>
      </c>
    </row>
    <row r="1180" spans="1:13" ht="31.5" x14ac:dyDescent="0.2">
      <c r="A1180" s="85"/>
      <c r="B1180" s="33" t="s">
        <v>175</v>
      </c>
      <c r="C1180" s="26" t="s">
        <v>31</v>
      </c>
      <c r="D1180" s="13" t="s">
        <v>23</v>
      </c>
      <c r="E1180" s="13" t="s">
        <v>7</v>
      </c>
      <c r="F1180" s="13" t="s">
        <v>93</v>
      </c>
      <c r="G1180" s="13" t="s">
        <v>166</v>
      </c>
      <c r="H1180" s="13" t="s">
        <v>2</v>
      </c>
      <c r="I1180" s="13" t="s">
        <v>234</v>
      </c>
      <c r="J1180" s="13" t="s">
        <v>58</v>
      </c>
      <c r="K1180" s="17">
        <f>256+245.3-68-10.5</f>
        <v>422.8</v>
      </c>
      <c r="L1180" s="17">
        <v>386.3</v>
      </c>
      <c r="M1180" s="17">
        <f t="shared" si="142"/>
        <v>91.367076631977298</v>
      </c>
    </row>
    <row r="1181" spans="1:13" x14ac:dyDescent="0.2">
      <c r="A1181" s="85"/>
      <c r="B1181" s="33" t="s">
        <v>69</v>
      </c>
      <c r="C1181" s="26" t="s">
        <v>31</v>
      </c>
      <c r="D1181" s="13" t="s">
        <v>23</v>
      </c>
      <c r="E1181" s="13" t="s">
        <v>7</v>
      </c>
      <c r="F1181" s="13" t="s">
        <v>93</v>
      </c>
      <c r="G1181" s="13" t="s">
        <v>166</v>
      </c>
      <c r="H1181" s="13" t="s">
        <v>2</v>
      </c>
      <c r="I1181" s="13" t="s">
        <v>234</v>
      </c>
      <c r="J1181" s="13" t="s">
        <v>70</v>
      </c>
      <c r="K1181" s="17">
        <f>68+10.5</f>
        <v>78.5</v>
      </c>
      <c r="L1181" s="17">
        <v>78.5</v>
      </c>
      <c r="M1181" s="17">
        <f t="shared" si="142"/>
        <v>100</v>
      </c>
    </row>
    <row r="1182" spans="1:13" ht="31.5" x14ac:dyDescent="0.2">
      <c r="A1182" s="92" t="s">
        <v>93</v>
      </c>
      <c r="B1182" s="68" t="s">
        <v>188</v>
      </c>
      <c r="C1182" s="26">
        <v>934</v>
      </c>
      <c r="D1182" s="13"/>
      <c r="E1182" s="13"/>
      <c r="F1182" s="13"/>
      <c r="G1182" s="13"/>
      <c r="H1182" s="13"/>
      <c r="I1182" s="13"/>
      <c r="J1182" s="13"/>
      <c r="K1182" s="17">
        <f>K1183+K1190</f>
        <v>14017.799999999997</v>
      </c>
      <c r="L1182" s="17">
        <f>L1183+L1190</f>
        <v>9597.5</v>
      </c>
      <c r="M1182" s="17">
        <f t="shared" si="142"/>
        <v>68.466521137411021</v>
      </c>
    </row>
    <row r="1183" spans="1:13" ht="31.5" x14ac:dyDescent="0.2">
      <c r="A1183" s="85"/>
      <c r="B1183" s="33" t="s">
        <v>14</v>
      </c>
      <c r="C1183" s="26" t="s">
        <v>97</v>
      </c>
      <c r="D1183" s="13" t="s">
        <v>5</v>
      </c>
      <c r="E1183" s="13"/>
      <c r="F1183" s="13"/>
      <c r="G1183" s="13"/>
      <c r="H1183" s="13"/>
      <c r="I1183" s="13"/>
      <c r="J1183" s="13"/>
      <c r="K1183" s="17">
        <f t="shared" ref="K1183:L1184" si="144">SUM(K1184)</f>
        <v>306.89999999999998</v>
      </c>
      <c r="L1183" s="17">
        <f t="shared" si="144"/>
        <v>211.6</v>
      </c>
      <c r="M1183" s="17">
        <f t="shared" si="142"/>
        <v>68.947539915281851</v>
      </c>
    </row>
    <row r="1184" spans="1:13" ht="31.5" x14ac:dyDescent="0.2">
      <c r="A1184" s="85"/>
      <c r="B1184" s="33" t="s">
        <v>190</v>
      </c>
      <c r="C1184" s="26" t="s">
        <v>97</v>
      </c>
      <c r="D1184" s="13" t="s">
        <v>5</v>
      </c>
      <c r="E1184" s="13" t="s">
        <v>10</v>
      </c>
      <c r="F1184" s="13"/>
      <c r="G1184" s="13"/>
      <c r="H1184" s="13"/>
      <c r="I1184" s="13"/>
      <c r="J1184" s="13"/>
      <c r="K1184" s="17">
        <f t="shared" si="144"/>
        <v>306.89999999999998</v>
      </c>
      <c r="L1184" s="17">
        <f t="shared" si="144"/>
        <v>211.6</v>
      </c>
      <c r="M1184" s="17">
        <f t="shared" si="142"/>
        <v>68.947539915281851</v>
      </c>
    </row>
    <row r="1185" spans="1:13" ht="31.5" x14ac:dyDescent="0.2">
      <c r="A1185" s="85"/>
      <c r="B1185" s="54" t="s">
        <v>257</v>
      </c>
      <c r="C1185" s="42">
        <v>934</v>
      </c>
      <c r="D1185" s="13" t="s">
        <v>5</v>
      </c>
      <c r="E1185" s="13" t="s">
        <v>10</v>
      </c>
      <c r="F1185" s="13" t="s">
        <v>111</v>
      </c>
      <c r="G1185" s="13"/>
      <c r="H1185" s="13"/>
      <c r="I1185" s="13"/>
      <c r="J1185" s="26"/>
      <c r="K1185" s="17">
        <f>SUM(K1186)</f>
        <v>306.89999999999998</v>
      </c>
      <c r="L1185" s="17">
        <f>SUM(L1186)</f>
        <v>211.6</v>
      </c>
      <c r="M1185" s="17">
        <f t="shared" si="142"/>
        <v>68.947539915281851</v>
      </c>
    </row>
    <row r="1186" spans="1:13" ht="63" x14ac:dyDescent="0.2">
      <c r="A1186" s="85"/>
      <c r="B1186" s="54" t="s">
        <v>259</v>
      </c>
      <c r="C1186" s="42">
        <v>934</v>
      </c>
      <c r="D1186" s="13" t="s">
        <v>5</v>
      </c>
      <c r="E1186" s="13" t="s">
        <v>10</v>
      </c>
      <c r="F1186" s="13" t="s">
        <v>111</v>
      </c>
      <c r="G1186" s="13" t="s">
        <v>166</v>
      </c>
      <c r="H1186" s="13"/>
      <c r="I1186" s="13"/>
      <c r="J1186" s="26"/>
      <c r="K1186" s="17">
        <f t="shared" ref="K1186:L1188" si="145">SUM(K1187)</f>
        <v>306.89999999999998</v>
      </c>
      <c r="L1186" s="17">
        <f t="shared" si="145"/>
        <v>211.6</v>
      </c>
      <c r="M1186" s="17">
        <f t="shared" si="142"/>
        <v>68.947539915281851</v>
      </c>
    </row>
    <row r="1187" spans="1:13" ht="51.6" customHeight="1" x14ac:dyDescent="0.2">
      <c r="A1187" s="85"/>
      <c r="B1187" s="54" t="s">
        <v>191</v>
      </c>
      <c r="C1187" s="42">
        <v>934</v>
      </c>
      <c r="D1187" s="13" t="s">
        <v>5</v>
      </c>
      <c r="E1187" s="13" t="s">
        <v>10</v>
      </c>
      <c r="F1187" s="13" t="s">
        <v>111</v>
      </c>
      <c r="G1187" s="13" t="s">
        <v>166</v>
      </c>
      <c r="H1187" s="13" t="s">
        <v>2</v>
      </c>
      <c r="I1187" s="13"/>
      <c r="J1187" s="26"/>
      <c r="K1187" s="17">
        <f t="shared" si="145"/>
        <v>306.89999999999998</v>
      </c>
      <c r="L1187" s="17">
        <f t="shared" si="145"/>
        <v>211.6</v>
      </c>
      <c r="M1187" s="17">
        <f t="shared" si="142"/>
        <v>68.947539915281851</v>
      </c>
    </row>
    <row r="1188" spans="1:13" ht="47.25" x14ac:dyDescent="0.2">
      <c r="A1188" s="85"/>
      <c r="B1188" s="54" t="s">
        <v>192</v>
      </c>
      <c r="C1188" s="42">
        <v>934</v>
      </c>
      <c r="D1188" s="13" t="s">
        <v>5</v>
      </c>
      <c r="E1188" s="13" t="s">
        <v>10</v>
      </c>
      <c r="F1188" s="13" t="s">
        <v>111</v>
      </c>
      <c r="G1188" s="13" t="s">
        <v>166</v>
      </c>
      <c r="H1188" s="13" t="s">
        <v>2</v>
      </c>
      <c r="I1188" s="13" t="s">
        <v>195</v>
      </c>
      <c r="J1188" s="26"/>
      <c r="K1188" s="17">
        <f t="shared" si="145"/>
        <v>306.89999999999998</v>
      </c>
      <c r="L1188" s="17">
        <f t="shared" si="145"/>
        <v>211.6</v>
      </c>
      <c r="M1188" s="17">
        <f t="shared" si="142"/>
        <v>68.947539915281851</v>
      </c>
    </row>
    <row r="1189" spans="1:13" ht="31.15" customHeight="1" x14ac:dyDescent="0.2">
      <c r="A1189" s="85"/>
      <c r="B1189" s="33" t="s">
        <v>175</v>
      </c>
      <c r="C1189" s="42">
        <v>934</v>
      </c>
      <c r="D1189" s="13" t="s">
        <v>5</v>
      </c>
      <c r="E1189" s="13" t="s">
        <v>10</v>
      </c>
      <c r="F1189" s="13" t="s">
        <v>111</v>
      </c>
      <c r="G1189" s="13" t="s">
        <v>166</v>
      </c>
      <c r="H1189" s="13" t="s">
        <v>2</v>
      </c>
      <c r="I1189" s="13" t="s">
        <v>195</v>
      </c>
      <c r="J1189" s="26" t="s">
        <v>58</v>
      </c>
      <c r="K1189" s="17">
        <f>100+71.5+135.4</f>
        <v>306.89999999999998</v>
      </c>
      <c r="L1189" s="17">
        <v>211.6</v>
      </c>
      <c r="M1189" s="17">
        <f t="shared" si="142"/>
        <v>68.947539915281851</v>
      </c>
    </row>
    <row r="1190" spans="1:13" x14ac:dyDescent="0.2">
      <c r="A1190" s="85"/>
      <c r="B1190" s="68" t="s">
        <v>18</v>
      </c>
      <c r="C1190" s="26">
        <v>934</v>
      </c>
      <c r="D1190" s="13" t="s">
        <v>8</v>
      </c>
      <c r="E1190" s="13"/>
      <c r="F1190" s="13"/>
      <c r="G1190" s="13"/>
      <c r="H1190" s="13"/>
      <c r="I1190" s="13"/>
      <c r="J1190" s="13"/>
      <c r="K1190" s="17">
        <f>K1197+K1220+K1191</f>
        <v>13710.899999999998</v>
      </c>
      <c r="L1190" s="17">
        <f>L1197+L1220+L1191</f>
        <v>9385.9</v>
      </c>
      <c r="M1190" s="17">
        <f t="shared" si="142"/>
        <v>68.455754180980094</v>
      </c>
    </row>
    <row r="1191" spans="1:13" ht="31.5" x14ac:dyDescent="0.2">
      <c r="A1191" s="85"/>
      <c r="B1191" s="33" t="s">
        <v>457</v>
      </c>
      <c r="C1191" s="42">
        <v>934</v>
      </c>
      <c r="D1191" s="13" t="s">
        <v>8</v>
      </c>
      <c r="E1191" s="13" t="s">
        <v>7</v>
      </c>
      <c r="F1191" s="13"/>
      <c r="G1191" s="13"/>
      <c r="H1191" s="13"/>
      <c r="I1191" s="13"/>
      <c r="J1191" s="26"/>
      <c r="K1191" s="17">
        <f t="shared" ref="K1191:L1194" si="146">SUM(K1192)</f>
        <v>8</v>
      </c>
      <c r="L1191" s="17">
        <f t="shared" si="146"/>
        <v>0</v>
      </c>
      <c r="M1191" s="17">
        <f t="shared" si="142"/>
        <v>0</v>
      </c>
    </row>
    <row r="1192" spans="1:13" ht="31.9" customHeight="1" x14ac:dyDescent="0.2">
      <c r="A1192" s="85"/>
      <c r="B1192" s="33" t="s">
        <v>303</v>
      </c>
      <c r="C1192" s="42">
        <v>934</v>
      </c>
      <c r="D1192" s="13" t="s">
        <v>8</v>
      </c>
      <c r="E1192" s="13" t="s">
        <v>7</v>
      </c>
      <c r="F1192" s="13" t="s">
        <v>17</v>
      </c>
      <c r="G1192" s="13"/>
      <c r="H1192" s="13"/>
      <c r="I1192" s="13"/>
      <c r="J1192" s="26"/>
      <c r="K1192" s="17">
        <f t="shared" si="146"/>
        <v>8</v>
      </c>
      <c r="L1192" s="17">
        <f t="shared" si="146"/>
        <v>0</v>
      </c>
      <c r="M1192" s="17">
        <f t="shared" si="142"/>
        <v>0</v>
      </c>
    </row>
    <row r="1193" spans="1:13" ht="34.9" customHeight="1" x14ac:dyDescent="0.2">
      <c r="A1193" s="85"/>
      <c r="B1193" s="33" t="s">
        <v>304</v>
      </c>
      <c r="C1193" s="42">
        <v>934</v>
      </c>
      <c r="D1193" s="13" t="s">
        <v>8</v>
      </c>
      <c r="E1193" s="13" t="s">
        <v>7</v>
      </c>
      <c r="F1193" s="13" t="s">
        <v>17</v>
      </c>
      <c r="G1193" s="13" t="s">
        <v>126</v>
      </c>
      <c r="H1193" s="13"/>
      <c r="I1193" s="13"/>
      <c r="J1193" s="26"/>
      <c r="K1193" s="17">
        <f t="shared" si="146"/>
        <v>8</v>
      </c>
      <c r="L1193" s="17">
        <f t="shared" si="146"/>
        <v>0</v>
      </c>
      <c r="M1193" s="17">
        <f t="shared" si="142"/>
        <v>0</v>
      </c>
    </row>
    <row r="1194" spans="1:13" ht="47.25" x14ac:dyDescent="0.2">
      <c r="A1194" s="85"/>
      <c r="B1194" s="33" t="s">
        <v>171</v>
      </c>
      <c r="C1194" s="42">
        <v>934</v>
      </c>
      <c r="D1194" s="13" t="s">
        <v>8</v>
      </c>
      <c r="E1194" s="13" t="s">
        <v>7</v>
      </c>
      <c r="F1194" s="13" t="s">
        <v>17</v>
      </c>
      <c r="G1194" s="13" t="s">
        <v>126</v>
      </c>
      <c r="H1194" s="13" t="s">
        <v>2</v>
      </c>
      <c r="I1194" s="13"/>
      <c r="J1194" s="26"/>
      <c r="K1194" s="17">
        <f t="shared" si="146"/>
        <v>8</v>
      </c>
      <c r="L1194" s="17">
        <f t="shared" si="146"/>
        <v>0</v>
      </c>
      <c r="M1194" s="17">
        <f t="shared" si="142"/>
        <v>0</v>
      </c>
    </row>
    <row r="1195" spans="1:13" ht="34.15" customHeight="1" x14ac:dyDescent="0.2">
      <c r="A1195" s="85"/>
      <c r="B1195" s="33" t="s">
        <v>459</v>
      </c>
      <c r="C1195" s="42">
        <v>934</v>
      </c>
      <c r="D1195" s="13" t="s">
        <v>8</v>
      </c>
      <c r="E1195" s="13" t="s">
        <v>7</v>
      </c>
      <c r="F1195" s="13" t="s">
        <v>17</v>
      </c>
      <c r="G1195" s="13" t="s">
        <v>126</v>
      </c>
      <c r="H1195" s="13" t="s">
        <v>2</v>
      </c>
      <c r="I1195" s="13" t="s">
        <v>458</v>
      </c>
      <c r="J1195" s="26"/>
      <c r="K1195" s="17">
        <f>SUM(K1196)</f>
        <v>8</v>
      </c>
      <c r="L1195" s="17">
        <f>SUM(L1196)</f>
        <v>0</v>
      </c>
      <c r="M1195" s="17">
        <f t="shared" si="142"/>
        <v>0</v>
      </c>
    </row>
    <row r="1196" spans="1:13" ht="36" customHeight="1" x14ac:dyDescent="0.2">
      <c r="A1196" s="85"/>
      <c r="B1196" s="33" t="s">
        <v>175</v>
      </c>
      <c r="C1196" s="42">
        <v>934</v>
      </c>
      <c r="D1196" s="13" t="s">
        <v>8</v>
      </c>
      <c r="E1196" s="13" t="s">
        <v>7</v>
      </c>
      <c r="F1196" s="13" t="s">
        <v>17</v>
      </c>
      <c r="G1196" s="13" t="s">
        <v>126</v>
      </c>
      <c r="H1196" s="13" t="s">
        <v>2</v>
      </c>
      <c r="I1196" s="13" t="s">
        <v>458</v>
      </c>
      <c r="J1196" s="26" t="s">
        <v>58</v>
      </c>
      <c r="K1196" s="17">
        <v>8</v>
      </c>
      <c r="L1196" s="17">
        <v>0</v>
      </c>
      <c r="M1196" s="17">
        <f t="shared" si="142"/>
        <v>0</v>
      </c>
    </row>
    <row r="1197" spans="1:13" ht="19.149999999999999" customHeight="1" x14ac:dyDescent="0.2">
      <c r="A1197" s="85"/>
      <c r="B1197" s="68" t="s">
        <v>19</v>
      </c>
      <c r="C1197" s="26">
        <v>934</v>
      </c>
      <c r="D1197" s="13" t="s">
        <v>8</v>
      </c>
      <c r="E1197" s="13" t="s">
        <v>8</v>
      </c>
      <c r="F1197" s="13"/>
      <c r="G1197" s="13"/>
      <c r="H1197" s="13"/>
      <c r="I1197" s="13"/>
      <c r="J1197" s="13"/>
      <c r="K1197" s="17">
        <f>SUM(K1198+K1211)</f>
        <v>9503.1999999999989</v>
      </c>
      <c r="L1197" s="17">
        <f>SUM(L1198+L1211)</f>
        <v>6486.7</v>
      </c>
      <c r="M1197" s="17">
        <f t="shared" si="142"/>
        <v>68.258060442798225</v>
      </c>
    </row>
    <row r="1198" spans="1:13" ht="32.450000000000003" customHeight="1" x14ac:dyDescent="0.2">
      <c r="A1198" s="85"/>
      <c r="B1198" s="50" t="s">
        <v>303</v>
      </c>
      <c r="C1198" s="26">
        <v>934</v>
      </c>
      <c r="D1198" s="13" t="s">
        <v>8</v>
      </c>
      <c r="E1198" s="13" t="s">
        <v>8</v>
      </c>
      <c r="F1198" s="13" t="s">
        <v>17</v>
      </c>
      <c r="G1198" s="13"/>
      <c r="H1198" s="13"/>
      <c r="I1198" s="13"/>
      <c r="J1198" s="13"/>
      <c r="K1198" s="17">
        <f t="shared" ref="K1198:L1198" si="147">SUM(K1199)</f>
        <v>8386.0999999999985</v>
      </c>
      <c r="L1198" s="17">
        <f t="shared" si="147"/>
        <v>5612.5999999999995</v>
      </c>
      <c r="M1198" s="17">
        <f t="shared" si="142"/>
        <v>66.927415604392991</v>
      </c>
    </row>
    <row r="1199" spans="1:13" ht="31.5" x14ac:dyDescent="0.2">
      <c r="A1199" s="85"/>
      <c r="B1199" s="50" t="s">
        <v>304</v>
      </c>
      <c r="C1199" s="26">
        <v>934</v>
      </c>
      <c r="D1199" s="13" t="s">
        <v>8</v>
      </c>
      <c r="E1199" s="13" t="s">
        <v>8</v>
      </c>
      <c r="F1199" s="13" t="s">
        <v>17</v>
      </c>
      <c r="G1199" s="13" t="s">
        <v>126</v>
      </c>
      <c r="H1199" s="13"/>
      <c r="I1199" s="13"/>
      <c r="J1199" s="13"/>
      <c r="K1199" s="17">
        <f>SUM(K1200+K1205+K1208)</f>
        <v>8386.0999999999985</v>
      </c>
      <c r="L1199" s="17">
        <f>SUM(L1200+L1205+L1208)</f>
        <v>5612.5999999999995</v>
      </c>
      <c r="M1199" s="17">
        <f t="shared" si="142"/>
        <v>66.927415604392991</v>
      </c>
    </row>
    <row r="1200" spans="1:13" ht="47.25" x14ac:dyDescent="0.2">
      <c r="A1200" s="85"/>
      <c r="B1200" s="50" t="s">
        <v>579</v>
      </c>
      <c r="C1200" s="26">
        <v>934</v>
      </c>
      <c r="D1200" s="13" t="s">
        <v>8</v>
      </c>
      <c r="E1200" s="13" t="s">
        <v>8</v>
      </c>
      <c r="F1200" s="13" t="s">
        <v>17</v>
      </c>
      <c r="G1200" s="13" t="s">
        <v>126</v>
      </c>
      <c r="H1200" s="13" t="s">
        <v>4</v>
      </c>
      <c r="I1200" s="13"/>
      <c r="J1200" s="13"/>
      <c r="K1200" s="17">
        <f>SUM(K1201)</f>
        <v>6966.0999999999995</v>
      </c>
      <c r="L1200" s="17">
        <f>SUM(L1201)</f>
        <v>4682.2</v>
      </c>
      <c r="M1200" s="17">
        <f t="shared" si="142"/>
        <v>67.214079614131293</v>
      </c>
    </row>
    <row r="1201" spans="1:13" ht="66" customHeight="1" x14ac:dyDescent="0.2">
      <c r="A1201" s="85"/>
      <c r="B1201" s="33" t="s">
        <v>88</v>
      </c>
      <c r="C1201" s="26" t="s">
        <v>97</v>
      </c>
      <c r="D1201" s="13" t="s">
        <v>8</v>
      </c>
      <c r="E1201" s="13" t="s">
        <v>8</v>
      </c>
      <c r="F1201" s="13" t="s">
        <v>17</v>
      </c>
      <c r="G1201" s="13" t="s">
        <v>126</v>
      </c>
      <c r="H1201" s="13" t="s">
        <v>4</v>
      </c>
      <c r="I1201" s="13" t="s">
        <v>116</v>
      </c>
      <c r="J1201" s="13"/>
      <c r="K1201" s="17">
        <f>SUM(K1202:K1204)</f>
        <v>6966.0999999999995</v>
      </c>
      <c r="L1201" s="17">
        <f>SUM(L1202:L1204)</f>
        <v>4682.2</v>
      </c>
      <c r="M1201" s="17">
        <f t="shared" si="142"/>
        <v>67.214079614131293</v>
      </c>
    </row>
    <row r="1202" spans="1:13" ht="48" customHeight="1" x14ac:dyDescent="0.2">
      <c r="A1202" s="85"/>
      <c r="B1202" s="33" t="s">
        <v>55</v>
      </c>
      <c r="C1202" s="26" t="s">
        <v>97</v>
      </c>
      <c r="D1202" s="13" t="s">
        <v>8</v>
      </c>
      <c r="E1202" s="13" t="s">
        <v>8</v>
      </c>
      <c r="F1202" s="13" t="s">
        <v>17</v>
      </c>
      <c r="G1202" s="13" t="s">
        <v>126</v>
      </c>
      <c r="H1202" s="13" t="s">
        <v>4</v>
      </c>
      <c r="I1202" s="13" t="s">
        <v>116</v>
      </c>
      <c r="J1202" s="13" t="s">
        <v>56</v>
      </c>
      <c r="K1202" s="17">
        <f>6568.7+65.5</f>
        <v>6634.2</v>
      </c>
      <c r="L1202" s="17">
        <v>4482.8</v>
      </c>
      <c r="M1202" s="17">
        <f t="shared" si="142"/>
        <v>67.571071116336569</v>
      </c>
    </row>
    <row r="1203" spans="1:13" ht="31.5" x14ac:dyDescent="0.2">
      <c r="A1203" s="85"/>
      <c r="B1203" s="33" t="s">
        <v>175</v>
      </c>
      <c r="C1203" s="26" t="s">
        <v>97</v>
      </c>
      <c r="D1203" s="13" t="s">
        <v>8</v>
      </c>
      <c r="E1203" s="13" t="s">
        <v>8</v>
      </c>
      <c r="F1203" s="13" t="s">
        <v>17</v>
      </c>
      <c r="G1203" s="13" t="s">
        <v>126</v>
      </c>
      <c r="H1203" s="13" t="s">
        <v>4</v>
      </c>
      <c r="I1203" s="13" t="s">
        <v>116</v>
      </c>
      <c r="J1203" s="13" t="s">
        <v>58</v>
      </c>
      <c r="K1203" s="17">
        <f>6898.4-6570.4+2.3-0.1</f>
        <v>330.2</v>
      </c>
      <c r="L1203" s="17">
        <v>199.4</v>
      </c>
      <c r="M1203" s="17">
        <f t="shared" si="142"/>
        <v>60.387643852210779</v>
      </c>
    </row>
    <row r="1204" spans="1:13" x14ac:dyDescent="0.2">
      <c r="A1204" s="85"/>
      <c r="B1204" s="33" t="s">
        <v>60</v>
      </c>
      <c r="C1204" s="26" t="s">
        <v>97</v>
      </c>
      <c r="D1204" s="13" t="s">
        <v>8</v>
      </c>
      <c r="E1204" s="13" t="s">
        <v>8</v>
      </c>
      <c r="F1204" s="13" t="s">
        <v>17</v>
      </c>
      <c r="G1204" s="13" t="s">
        <v>126</v>
      </c>
      <c r="H1204" s="13" t="s">
        <v>4</v>
      </c>
      <c r="I1204" s="13" t="s">
        <v>116</v>
      </c>
      <c r="J1204" s="13" t="s">
        <v>61</v>
      </c>
      <c r="K1204" s="17">
        <v>1.7</v>
      </c>
      <c r="L1204" s="17">
        <v>0</v>
      </c>
      <c r="M1204" s="17">
        <f t="shared" si="142"/>
        <v>0</v>
      </c>
    </row>
    <row r="1205" spans="1:13" ht="47.25" x14ac:dyDescent="0.2">
      <c r="A1205" s="85"/>
      <c r="B1205" s="33" t="s">
        <v>305</v>
      </c>
      <c r="C1205" s="26" t="s">
        <v>97</v>
      </c>
      <c r="D1205" s="13" t="s">
        <v>8</v>
      </c>
      <c r="E1205" s="13" t="s">
        <v>8</v>
      </c>
      <c r="F1205" s="13" t="s">
        <v>17</v>
      </c>
      <c r="G1205" s="13" t="s">
        <v>126</v>
      </c>
      <c r="H1205" s="13" t="s">
        <v>4</v>
      </c>
      <c r="I1205" s="13"/>
      <c r="J1205" s="13"/>
      <c r="K1205" s="17">
        <f>K1206</f>
        <v>114.9</v>
      </c>
      <c r="L1205" s="17">
        <f>L1206</f>
        <v>0</v>
      </c>
      <c r="M1205" s="17">
        <f t="shared" si="142"/>
        <v>0</v>
      </c>
    </row>
    <row r="1206" spans="1:13" x14ac:dyDescent="0.2">
      <c r="A1206" s="85"/>
      <c r="B1206" s="33" t="s">
        <v>405</v>
      </c>
      <c r="C1206" s="26">
        <v>934</v>
      </c>
      <c r="D1206" s="13" t="s">
        <v>8</v>
      </c>
      <c r="E1206" s="13" t="s">
        <v>8</v>
      </c>
      <c r="F1206" s="13" t="s">
        <v>17</v>
      </c>
      <c r="G1206" s="13" t="s">
        <v>126</v>
      </c>
      <c r="H1206" s="13" t="s">
        <v>4</v>
      </c>
      <c r="I1206" s="13" t="s">
        <v>404</v>
      </c>
      <c r="J1206" s="13"/>
      <c r="K1206" s="17">
        <f>K1207</f>
        <v>114.9</v>
      </c>
      <c r="L1206" s="17">
        <f>L1207</f>
        <v>0</v>
      </c>
      <c r="M1206" s="17">
        <f t="shared" si="142"/>
        <v>0</v>
      </c>
    </row>
    <row r="1207" spans="1:13" ht="47.25" x14ac:dyDescent="0.2">
      <c r="A1207" s="85"/>
      <c r="B1207" s="33" t="s">
        <v>55</v>
      </c>
      <c r="C1207" s="26">
        <v>934</v>
      </c>
      <c r="D1207" s="13" t="s">
        <v>8</v>
      </c>
      <c r="E1207" s="13" t="s">
        <v>8</v>
      </c>
      <c r="F1207" s="13" t="s">
        <v>17</v>
      </c>
      <c r="G1207" s="13" t="s">
        <v>126</v>
      </c>
      <c r="H1207" s="13" t="s">
        <v>4</v>
      </c>
      <c r="I1207" s="13" t="s">
        <v>404</v>
      </c>
      <c r="J1207" s="13" t="s">
        <v>56</v>
      </c>
      <c r="K1207" s="17">
        <v>114.9</v>
      </c>
      <c r="L1207" s="17">
        <v>0</v>
      </c>
      <c r="M1207" s="17">
        <f t="shared" si="142"/>
        <v>0</v>
      </c>
    </row>
    <row r="1208" spans="1:13" ht="47.25" x14ac:dyDescent="0.2">
      <c r="A1208" s="85"/>
      <c r="B1208" s="33" t="s">
        <v>384</v>
      </c>
      <c r="C1208" s="26">
        <v>934</v>
      </c>
      <c r="D1208" s="13" t="s">
        <v>8</v>
      </c>
      <c r="E1208" s="13" t="s">
        <v>8</v>
      </c>
      <c r="F1208" s="13" t="s">
        <v>17</v>
      </c>
      <c r="G1208" s="13" t="s">
        <v>126</v>
      </c>
      <c r="H1208" s="13" t="s">
        <v>5</v>
      </c>
      <c r="I1208" s="13"/>
      <c r="J1208" s="26"/>
      <c r="K1208" s="17">
        <f>K1209</f>
        <v>1305.0999999999999</v>
      </c>
      <c r="L1208" s="17">
        <f>L1209</f>
        <v>930.4</v>
      </c>
      <c r="M1208" s="17">
        <f t="shared" si="142"/>
        <v>71.289556355834804</v>
      </c>
    </row>
    <row r="1209" spans="1:13" ht="35.450000000000003" customHeight="1" x14ac:dyDescent="0.2">
      <c r="A1209" s="85"/>
      <c r="B1209" s="33" t="s">
        <v>428</v>
      </c>
      <c r="C1209" s="26">
        <v>934</v>
      </c>
      <c r="D1209" s="13" t="s">
        <v>8</v>
      </c>
      <c r="E1209" s="13" t="s">
        <v>8</v>
      </c>
      <c r="F1209" s="13" t="s">
        <v>17</v>
      </c>
      <c r="G1209" s="13" t="s">
        <v>126</v>
      </c>
      <c r="H1209" s="13" t="s">
        <v>5</v>
      </c>
      <c r="I1209" s="13" t="s">
        <v>383</v>
      </c>
      <c r="J1209" s="26"/>
      <c r="K1209" s="17">
        <f>K1210</f>
        <v>1305.0999999999999</v>
      </c>
      <c r="L1209" s="17">
        <f>L1210</f>
        <v>930.4</v>
      </c>
      <c r="M1209" s="17">
        <f t="shared" si="142"/>
        <v>71.289556355834804</v>
      </c>
    </row>
    <row r="1210" spans="1:13" ht="31.9" customHeight="1" x14ac:dyDescent="0.2">
      <c r="A1210" s="85"/>
      <c r="B1210" s="33" t="s">
        <v>175</v>
      </c>
      <c r="C1210" s="26">
        <v>934</v>
      </c>
      <c r="D1210" s="13" t="s">
        <v>8</v>
      </c>
      <c r="E1210" s="13" t="s">
        <v>8</v>
      </c>
      <c r="F1210" s="13" t="s">
        <v>17</v>
      </c>
      <c r="G1210" s="13" t="s">
        <v>126</v>
      </c>
      <c r="H1210" s="13" t="s">
        <v>5</v>
      </c>
      <c r="I1210" s="13" t="s">
        <v>383</v>
      </c>
      <c r="J1210" s="26" t="s">
        <v>58</v>
      </c>
      <c r="K1210" s="17">
        <f>342.4+431.5+531.2</f>
        <v>1305.0999999999999</v>
      </c>
      <c r="L1210" s="17">
        <v>930.4</v>
      </c>
      <c r="M1210" s="17">
        <f t="shared" si="142"/>
        <v>71.289556355834804</v>
      </c>
    </row>
    <row r="1211" spans="1:13" ht="46.15" customHeight="1" x14ac:dyDescent="0.2">
      <c r="A1211" s="85"/>
      <c r="B1211" s="33" t="s">
        <v>416</v>
      </c>
      <c r="C1211" s="26">
        <v>934</v>
      </c>
      <c r="D1211" s="13" t="s">
        <v>8</v>
      </c>
      <c r="E1211" s="13" t="s">
        <v>8</v>
      </c>
      <c r="F1211" s="13" t="s">
        <v>93</v>
      </c>
      <c r="G1211" s="42"/>
      <c r="H1211" s="26"/>
      <c r="I1211" s="26"/>
      <c r="J1211" s="26"/>
      <c r="K1211" s="17">
        <f>K1216+K1212</f>
        <v>1117.0999999999999</v>
      </c>
      <c r="L1211" s="17">
        <f>L1216+L1212</f>
        <v>874.1</v>
      </c>
      <c r="M1211" s="17">
        <f t="shared" si="142"/>
        <v>78.247247336854358</v>
      </c>
    </row>
    <row r="1212" spans="1:13" ht="51" customHeight="1" x14ac:dyDescent="0.2">
      <c r="A1212" s="85"/>
      <c r="B1212" s="33" t="s">
        <v>425</v>
      </c>
      <c r="C1212" s="26">
        <v>934</v>
      </c>
      <c r="D1212" s="13" t="s">
        <v>8</v>
      </c>
      <c r="E1212" s="13" t="s">
        <v>8</v>
      </c>
      <c r="F1212" s="13" t="s">
        <v>93</v>
      </c>
      <c r="G1212" s="13" t="s">
        <v>126</v>
      </c>
      <c r="H1212" s="13"/>
      <c r="I1212" s="13"/>
      <c r="J1212" s="13"/>
      <c r="K1212" s="17">
        <f t="shared" ref="K1212:L1214" si="148">K1213</f>
        <v>143</v>
      </c>
      <c r="L1212" s="17">
        <f t="shared" si="148"/>
        <v>0</v>
      </c>
      <c r="M1212" s="17">
        <f t="shared" si="142"/>
        <v>0</v>
      </c>
    </row>
    <row r="1213" spans="1:13" ht="64.900000000000006" customHeight="1" x14ac:dyDescent="0.2">
      <c r="A1213" s="85"/>
      <c r="B1213" s="33" t="s">
        <v>424</v>
      </c>
      <c r="C1213" s="26">
        <v>934</v>
      </c>
      <c r="D1213" s="13" t="s">
        <v>8</v>
      </c>
      <c r="E1213" s="13" t="s">
        <v>8</v>
      </c>
      <c r="F1213" s="13" t="s">
        <v>93</v>
      </c>
      <c r="G1213" s="13" t="s">
        <v>126</v>
      </c>
      <c r="H1213" s="13" t="s">
        <v>2</v>
      </c>
      <c r="I1213" s="13"/>
      <c r="J1213" s="13"/>
      <c r="K1213" s="17">
        <f t="shared" si="148"/>
        <v>143</v>
      </c>
      <c r="L1213" s="17">
        <f t="shared" si="148"/>
        <v>0</v>
      </c>
      <c r="M1213" s="17">
        <f t="shared" si="142"/>
        <v>0</v>
      </c>
    </row>
    <row r="1214" spans="1:13" ht="93" customHeight="1" x14ac:dyDescent="0.2">
      <c r="A1214" s="85"/>
      <c r="B1214" s="33" t="s">
        <v>426</v>
      </c>
      <c r="C1214" s="26">
        <v>934</v>
      </c>
      <c r="D1214" s="13" t="s">
        <v>8</v>
      </c>
      <c r="E1214" s="13" t="s">
        <v>8</v>
      </c>
      <c r="F1214" s="13" t="s">
        <v>93</v>
      </c>
      <c r="G1214" s="13" t="s">
        <v>126</v>
      </c>
      <c r="H1214" s="13" t="s">
        <v>2</v>
      </c>
      <c r="I1214" s="13" t="s">
        <v>387</v>
      </c>
      <c r="J1214" s="13"/>
      <c r="K1214" s="17">
        <f t="shared" si="148"/>
        <v>143</v>
      </c>
      <c r="L1214" s="17">
        <f t="shared" si="148"/>
        <v>0</v>
      </c>
      <c r="M1214" s="17">
        <f t="shared" si="142"/>
        <v>0</v>
      </c>
    </row>
    <row r="1215" spans="1:13" ht="33" customHeight="1" x14ac:dyDescent="0.2">
      <c r="A1215" s="85"/>
      <c r="B1215" s="33" t="s">
        <v>175</v>
      </c>
      <c r="C1215" s="26">
        <v>934</v>
      </c>
      <c r="D1215" s="13" t="s">
        <v>8</v>
      </c>
      <c r="E1215" s="13" t="s">
        <v>8</v>
      </c>
      <c r="F1215" s="13" t="s">
        <v>93</v>
      </c>
      <c r="G1215" s="13" t="s">
        <v>126</v>
      </c>
      <c r="H1215" s="13" t="s">
        <v>2</v>
      </c>
      <c r="I1215" s="13" t="s">
        <v>387</v>
      </c>
      <c r="J1215" s="13" t="s">
        <v>58</v>
      </c>
      <c r="K1215" s="17">
        <f>73+70</f>
        <v>143</v>
      </c>
      <c r="L1215" s="17">
        <v>0</v>
      </c>
      <c r="M1215" s="17">
        <f t="shared" si="142"/>
        <v>0</v>
      </c>
    </row>
    <row r="1216" spans="1:13" ht="48" customHeight="1" x14ac:dyDescent="0.2">
      <c r="A1216" s="85"/>
      <c r="B1216" s="33" t="s">
        <v>232</v>
      </c>
      <c r="C1216" s="26">
        <v>934</v>
      </c>
      <c r="D1216" s="13" t="s">
        <v>8</v>
      </c>
      <c r="E1216" s="13" t="s">
        <v>8</v>
      </c>
      <c r="F1216" s="13" t="s">
        <v>93</v>
      </c>
      <c r="G1216" s="25">
        <v>2</v>
      </c>
      <c r="H1216" s="13"/>
      <c r="I1216" s="13"/>
      <c r="J1216" s="13"/>
      <c r="K1216" s="17">
        <f t="shared" ref="K1216:L1218" si="149">K1217</f>
        <v>974.1</v>
      </c>
      <c r="L1216" s="17">
        <f t="shared" si="149"/>
        <v>874.1</v>
      </c>
      <c r="M1216" s="17">
        <f t="shared" si="142"/>
        <v>89.734113540704243</v>
      </c>
    </row>
    <row r="1217" spans="1:13" ht="111" customHeight="1" x14ac:dyDescent="0.2">
      <c r="A1217" s="85"/>
      <c r="B1217" s="67" t="s">
        <v>233</v>
      </c>
      <c r="C1217" s="26">
        <v>934</v>
      </c>
      <c r="D1217" s="13" t="s">
        <v>8</v>
      </c>
      <c r="E1217" s="13" t="s">
        <v>8</v>
      </c>
      <c r="F1217" s="13" t="s">
        <v>93</v>
      </c>
      <c r="G1217" s="25">
        <v>2</v>
      </c>
      <c r="H1217" s="13" t="s">
        <v>2</v>
      </c>
      <c r="I1217" s="13"/>
      <c r="J1217" s="13"/>
      <c r="K1217" s="17">
        <f t="shared" si="149"/>
        <v>974.1</v>
      </c>
      <c r="L1217" s="17">
        <f t="shared" si="149"/>
        <v>874.1</v>
      </c>
      <c r="M1217" s="17">
        <f t="shared" si="142"/>
        <v>89.734113540704243</v>
      </c>
    </row>
    <row r="1218" spans="1:13" ht="81.599999999999994" customHeight="1" x14ac:dyDescent="0.2">
      <c r="A1218" s="85"/>
      <c r="B1218" s="33" t="s">
        <v>256</v>
      </c>
      <c r="C1218" s="26">
        <v>934</v>
      </c>
      <c r="D1218" s="13" t="s">
        <v>8</v>
      </c>
      <c r="E1218" s="13" t="s">
        <v>8</v>
      </c>
      <c r="F1218" s="13" t="s">
        <v>93</v>
      </c>
      <c r="G1218" s="25">
        <v>2</v>
      </c>
      <c r="H1218" s="13" t="s">
        <v>2</v>
      </c>
      <c r="I1218" s="13" t="s">
        <v>234</v>
      </c>
      <c r="J1218" s="13"/>
      <c r="K1218" s="17">
        <f t="shared" si="149"/>
        <v>974.1</v>
      </c>
      <c r="L1218" s="17">
        <f t="shared" si="149"/>
        <v>874.1</v>
      </c>
      <c r="M1218" s="17">
        <f t="shared" si="142"/>
        <v>89.734113540704243</v>
      </c>
    </row>
    <row r="1219" spans="1:13" ht="36" customHeight="1" x14ac:dyDescent="0.2">
      <c r="A1219" s="85"/>
      <c r="B1219" s="33" t="s">
        <v>175</v>
      </c>
      <c r="C1219" s="26">
        <v>934</v>
      </c>
      <c r="D1219" s="13" t="s">
        <v>8</v>
      </c>
      <c r="E1219" s="13" t="s">
        <v>8</v>
      </c>
      <c r="F1219" s="13" t="s">
        <v>93</v>
      </c>
      <c r="G1219" s="25">
        <v>2</v>
      </c>
      <c r="H1219" s="13" t="s">
        <v>2</v>
      </c>
      <c r="I1219" s="13" t="s">
        <v>234</v>
      </c>
      <c r="J1219" s="13" t="s">
        <v>58</v>
      </c>
      <c r="K1219" s="17">
        <f>547.6+426.5</f>
        <v>974.1</v>
      </c>
      <c r="L1219" s="17">
        <v>874.1</v>
      </c>
      <c r="M1219" s="17">
        <f t="shared" si="142"/>
        <v>89.734113540704243</v>
      </c>
    </row>
    <row r="1220" spans="1:13" ht="18.600000000000001" customHeight="1" x14ac:dyDescent="0.2">
      <c r="A1220" s="85"/>
      <c r="B1220" s="33" t="s">
        <v>27</v>
      </c>
      <c r="C1220" s="26">
        <v>934</v>
      </c>
      <c r="D1220" s="13" t="s">
        <v>8</v>
      </c>
      <c r="E1220" s="13" t="s">
        <v>24</v>
      </c>
      <c r="F1220" s="70"/>
      <c r="G1220" s="70"/>
      <c r="H1220" s="70"/>
      <c r="I1220" s="70"/>
      <c r="J1220" s="70"/>
      <c r="K1220" s="17">
        <f t="shared" ref="K1220:L1222" si="150">K1221</f>
        <v>4199.7</v>
      </c>
      <c r="L1220" s="17">
        <f t="shared" si="150"/>
        <v>2899.2</v>
      </c>
      <c r="M1220" s="17">
        <f t="shared" si="142"/>
        <v>69.033502393028073</v>
      </c>
    </row>
    <row r="1221" spans="1:13" ht="35.450000000000003" customHeight="1" x14ac:dyDescent="0.2">
      <c r="A1221" s="85"/>
      <c r="B1221" s="33" t="s">
        <v>303</v>
      </c>
      <c r="C1221" s="26">
        <v>934</v>
      </c>
      <c r="D1221" s="13" t="s">
        <v>8</v>
      </c>
      <c r="E1221" s="13" t="s">
        <v>24</v>
      </c>
      <c r="F1221" s="13" t="s">
        <v>17</v>
      </c>
      <c r="G1221" s="13"/>
      <c r="H1221" s="13"/>
      <c r="I1221" s="13"/>
      <c r="J1221" s="13"/>
      <c r="K1221" s="17">
        <f t="shared" si="150"/>
        <v>4199.7</v>
      </c>
      <c r="L1221" s="17">
        <f t="shared" si="150"/>
        <v>2899.2</v>
      </c>
      <c r="M1221" s="17">
        <f t="shared" si="142"/>
        <v>69.033502393028073</v>
      </c>
    </row>
    <row r="1222" spans="1:13" ht="35.450000000000003" customHeight="1" x14ac:dyDescent="0.2">
      <c r="A1222" s="85"/>
      <c r="B1222" s="33" t="s">
        <v>304</v>
      </c>
      <c r="C1222" s="26">
        <v>934</v>
      </c>
      <c r="D1222" s="13" t="s">
        <v>8</v>
      </c>
      <c r="E1222" s="13" t="s">
        <v>24</v>
      </c>
      <c r="F1222" s="13" t="s">
        <v>17</v>
      </c>
      <c r="G1222" s="13" t="s">
        <v>126</v>
      </c>
      <c r="H1222" s="13"/>
      <c r="I1222" s="13"/>
      <c r="J1222" s="13"/>
      <c r="K1222" s="17">
        <f t="shared" si="150"/>
        <v>4199.7</v>
      </c>
      <c r="L1222" s="17">
        <f t="shared" si="150"/>
        <v>2899.2</v>
      </c>
      <c r="M1222" s="17">
        <f t="shared" si="142"/>
        <v>69.033502393028073</v>
      </c>
    </row>
    <row r="1223" spans="1:13" ht="51" customHeight="1" x14ac:dyDescent="0.2">
      <c r="A1223" s="85"/>
      <c r="B1223" s="33" t="s">
        <v>171</v>
      </c>
      <c r="C1223" s="26">
        <v>934</v>
      </c>
      <c r="D1223" s="13" t="s">
        <v>8</v>
      </c>
      <c r="E1223" s="13" t="s">
        <v>24</v>
      </c>
      <c r="F1223" s="13" t="s">
        <v>17</v>
      </c>
      <c r="G1223" s="13" t="s">
        <v>126</v>
      </c>
      <c r="H1223" s="13" t="s">
        <v>2</v>
      </c>
      <c r="I1223" s="13"/>
      <c r="J1223" s="13"/>
      <c r="K1223" s="17">
        <f>K1224+K1228</f>
        <v>4199.7</v>
      </c>
      <c r="L1223" s="17">
        <f>L1224+L1228</f>
        <v>2899.2</v>
      </c>
      <c r="M1223" s="17">
        <f t="shared" si="142"/>
        <v>69.033502393028073</v>
      </c>
    </row>
    <row r="1224" spans="1:13" ht="31.5" x14ac:dyDescent="0.2">
      <c r="A1224" s="85"/>
      <c r="B1224" s="33" t="s">
        <v>78</v>
      </c>
      <c r="C1224" s="26">
        <v>934</v>
      </c>
      <c r="D1224" s="13" t="s">
        <v>8</v>
      </c>
      <c r="E1224" s="13" t="s">
        <v>24</v>
      </c>
      <c r="F1224" s="13" t="s">
        <v>17</v>
      </c>
      <c r="G1224" s="13" t="s">
        <v>126</v>
      </c>
      <c r="H1224" s="13" t="s">
        <v>2</v>
      </c>
      <c r="I1224" s="13" t="s">
        <v>104</v>
      </c>
      <c r="J1224" s="13"/>
      <c r="K1224" s="17">
        <f>K1225+K1226+K1227</f>
        <v>4188.8</v>
      </c>
      <c r="L1224" s="17">
        <f>L1225+L1226+L1227</f>
        <v>2899.2</v>
      </c>
      <c r="M1224" s="17">
        <f t="shared" si="142"/>
        <v>69.213139801375092</v>
      </c>
    </row>
    <row r="1225" spans="1:13" ht="47.25" x14ac:dyDescent="0.2">
      <c r="A1225" s="85"/>
      <c r="B1225" s="33" t="s">
        <v>55</v>
      </c>
      <c r="C1225" s="26">
        <v>934</v>
      </c>
      <c r="D1225" s="13" t="s">
        <v>8</v>
      </c>
      <c r="E1225" s="13" t="s">
        <v>24</v>
      </c>
      <c r="F1225" s="13" t="s">
        <v>17</v>
      </c>
      <c r="G1225" s="13" t="s">
        <v>126</v>
      </c>
      <c r="H1225" s="13" t="s">
        <v>2</v>
      </c>
      <c r="I1225" s="13" t="s">
        <v>104</v>
      </c>
      <c r="J1225" s="13" t="s">
        <v>56</v>
      </c>
      <c r="K1225" s="17">
        <f>4053.5+40.4</f>
        <v>4093.9</v>
      </c>
      <c r="L1225" s="17">
        <v>2876</v>
      </c>
      <c r="M1225" s="17">
        <f t="shared" si="142"/>
        <v>70.250861037152831</v>
      </c>
    </row>
    <row r="1226" spans="1:13" ht="31.5" x14ac:dyDescent="0.2">
      <c r="A1226" s="85"/>
      <c r="B1226" s="33" t="s">
        <v>175</v>
      </c>
      <c r="C1226" s="26">
        <v>934</v>
      </c>
      <c r="D1226" s="13" t="s">
        <v>8</v>
      </c>
      <c r="E1226" s="13" t="s">
        <v>24</v>
      </c>
      <c r="F1226" s="13" t="s">
        <v>17</v>
      </c>
      <c r="G1226" s="13" t="s">
        <v>126</v>
      </c>
      <c r="H1226" s="13" t="s">
        <v>2</v>
      </c>
      <c r="I1226" s="13" t="s">
        <v>104</v>
      </c>
      <c r="J1226" s="13" t="s">
        <v>58</v>
      </c>
      <c r="K1226" s="17">
        <f>4148.4-4055.2</f>
        <v>93.199999999999818</v>
      </c>
      <c r="L1226" s="17">
        <v>23.2</v>
      </c>
      <c r="M1226" s="17">
        <f t="shared" si="142"/>
        <v>24.892703862660991</v>
      </c>
    </row>
    <row r="1227" spans="1:13" ht="16.899999999999999" customHeight="1" x14ac:dyDescent="0.2">
      <c r="A1227" s="85"/>
      <c r="B1227" s="33" t="s">
        <v>60</v>
      </c>
      <c r="C1227" s="26">
        <v>934</v>
      </c>
      <c r="D1227" s="13" t="s">
        <v>8</v>
      </c>
      <c r="E1227" s="13" t="s">
        <v>24</v>
      </c>
      <c r="F1227" s="13" t="s">
        <v>17</v>
      </c>
      <c r="G1227" s="13" t="s">
        <v>126</v>
      </c>
      <c r="H1227" s="13" t="s">
        <v>2</v>
      </c>
      <c r="I1227" s="13" t="s">
        <v>104</v>
      </c>
      <c r="J1227" s="13" t="s">
        <v>61</v>
      </c>
      <c r="K1227" s="17">
        <v>1.7</v>
      </c>
      <c r="L1227" s="17">
        <v>0</v>
      </c>
      <c r="M1227" s="17">
        <f t="shared" si="142"/>
        <v>0</v>
      </c>
    </row>
    <row r="1228" spans="1:13" ht="31.5" x14ac:dyDescent="0.2">
      <c r="A1228" s="85"/>
      <c r="B1228" s="33" t="s">
        <v>456</v>
      </c>
      <c r="C1228" s="42">
        <v>934</v>
      </c>
      <c r="D1228" s="13" t="s">
        <v>8</v>
      </c>
      <c r="E1228" s="13" t="s">
        <v>24</v>
      </c>
      <c r="F1228" s="13" t="s">
        <v>17</v>
      </c>
      <c r="G1228" s="25">
        <v>1</v>
      </c>
      <c r="H1228" s="13" t="s">
        <v>2</v>
      </c>
      <c r="I1228" s="13" t="s">
        <v>455</v>
      </c>
      <c r="J1228" s="13"/>
      <c r="K1228" s="17">
        <f>SUM(K1229)</f>
        <v>10.9</v>
      </c>
      <c r="L1228" s="17">
        <f>SUM(L1229)</f>
        <v>0</v>
      </c>
      <c r="M1228" s="17">
        <f t="shared" si="142"/>
        <v>0</v>
      </c>
    </row>
    <row r="1229" spans="1:13" ht="34.15" customHeight="1" x14ac:dyDescent="0.2">
      <c r="A1229" s="27"/>
      <c r="B1229" s="33" t="s">
        <v>175</v>
      </c>
      <c r="C1229" s="42">
        <v>934</v>
      </c>
      <c r="D1229" s="13" t="s">
        <v>8</v>
      </c>
      <c r="E1229" s="13" t="s">
        <v>24</v>
      </c>
      <c r="F1229" s="13" t="s">
        <v>17</v>
      </c>
      <c r="G1229" s="25">
        <v>1</v>
      </c>
      <c r="H1229" s="13" t="s">
        <v>2</v>
      </c>
      <c r="I1229" s="13" t="s">
        <v>455</v>
      </c>
      <c r="J1229" s="13" t="s">
        <v>58</v>
      </c>
      <c r="K1229" s="17">
        <v>10.9</v>
      </c>
      <c r="L1229" s="17">
        <v>0</v>
      </c>
      <c r="M1229" s="17">
        <f t="shared" si="142"/>
        <v>0</v>
      </c>
    </row>
    <row r="1230" spans="1:13" ht="46.9" customHeight="1" x14ac:dyDescent="0.2">
      <c r="A1230" s="92" t="s">
        <v>41</v>
      </c>
      <c r="B1230" s="33" t="s">
        <v>494</v>
      </c>
      <c r="C1230" s="42">
        <v>942</v>
      </c>
      <c r="D1230" s="13"/>
      <c r="E1230" s="13"/>
      <c r="F1230" s="13"/>
      <c r="G1230" s="25"/>
      <c r="H1230" s="13"/>
      <c r="I1230" s="13"/>
      <c r="J1230" s="13"/>
      <c r="K1230" s="17">
        <f>K1231+K1249</f>
        <v>38547.599999999984</v>
      </c>
      <c r="L1230" s="17">
        <f>L1231+L1249</f>
        <v>29021.500000000004</v>
      </c>
      <c r="M1230" s="17">
        <f t="shared" si="142"/>
        <v>75.287436831346227</v>
      </c>
    </row>
    <row r="1231" spans="1:13" x14ac:dyDescent="0.2">
      <c r="A1231" s="85"/>
      <c r="B1231" s="33" t="s">
        <v>15</v>
      </c>
      <c r="C1231" s="42">
        <v>942</v>
      </c>
      <c r="D1231" s="13" t="s">
        <v>6</v>
      </c>
      <c r="E1231" s="13"/>
      <c r="F1231" s="13"/>
      <c r="G1231" s="25"/>
      <c r="H1231" s="13"/>
      <c r="I1231" s="13"/>
      <c r="J1231" s="13"/>
      <c r="K1231" s="17">
        <f t="shared" ref="K1231:L1234" si="151">K1232</f>
        <v>38522.499999999985</v>
      </c>
      <c r="L1231" s="17">
        <f t="shared" si="151"/>
        <v>29012.000000000004</v>
      </c>
      <c r="M1231" s="17">
        <f t="shared" si="142"/>
        <v>75.311830748264043</v>
      </c>
    </row>
    <row r="1232" spans="1:13" x14ac:dyDescent="0.2">
      <c r="A1232" s="85"/>
      <c r="B1232" s="33" t="s">
        <v>91</v>
      </c>
      <c r="C1232" s="42">
        <v>942</v>
      </c>
      <c r="D1232" s="13" t="s">
        <v>6</v>
      </c>
      <c r="E1232" s="13" t="s">
        <v>17</v>
      </c>
      <c r="F1232" s="13"/>
      <c r="G1232" s="25"/>
      <c r="H1232" s="13"/>
      <c r="I1232" s="13"/>
      <c r="J1232" s="13"/>
      <c r="K1232" s="17">
        <f t="shared" si="151"/>
        <v>38522.499999999985</v>
      </c>
      <c r="L1232" s="17">
        <f t="shared" si="151"/>
        <v>29012.000000000004</v>
      </c>
      <c r="M1232" s="17">
        <f t="shared" si="142"/>
        <v>75.311830748264043</v>
      </c>
    </row>
    <row r="1233" spans="1:13" ht="47.25" x14ac:dyDescent="0.2">
      <c r="A1233" s="85"/>
      <c r="B1233" s="33" t="s">
        <v>580</v>
      </c>
      <c r="C1233" s="42">
        <v>942</v>
      </c>
      <c r="D1233" s="13" t="s">
        <v>6</v>
      </c>
      <c r="E1233" s="13" t="s">
        <v>17</v>
      </c>
      <c r="F1233" s="13" t="s">
        <v>23</v>
      </c>
      <c r="G1233" s="25"/>
      <c r="H1233" s="13"/>
      <c r="I1233" s="13"/>
      <c r="J1233" s="13"/>
      <c r="K1233" s="17">
        <f t="shared" si="151"/>
        <v>38522.499999999985</v>
      </c>
      <c r="L1233" s="17">
        <f t="shared" si="151"/>
        <v>29012.000000000004</v>
      </c>
      <c r="M1233" s="17">
        <f t="shared" si="142"/>
        <v>75.311830748264043</v>
      </c>
    </row>
    <row r="1234" spans="1:13" ht="63" x14ac:dyDescent="0.2">
      <c r="A1234" s="85"/>
      <c r="B1234" s="33" t="s">
        <v>581</v>
      </c>
      <c r="C1234" s="42">
        <v>942</v>
      </c>
      <c r="D1234" s="13" t="s">
        <v>6</v>
      </c>
      <c r="E1234" s="13" t="s">
        <v>17</v>
      </c>
      <c r="F1234" s="13" t="s">
        <v>23</v>
      </c>
      <c r="G1234" s="25">
        <v>1</v>
      </c>
      <c r="H1234" s="13"/>
      <c r="I1234" s="13"/>
      <c r="J1234" s="13"/>
      <c r="K1234" s="17">
        <f t="shared" si="151"/>
        <v>38522.499999999985</v>
      </c>
      <c r="L1234" s="17">
        <f t="shared" si="151"/>
        <v>29012.000000000004</v>
      </c>
      <c r="M1234" s="17">
        <f t="shared" si="142"/>
        <v>75.311830748264043</v>
      </c>
    </row>
    <row r="1235" spans="1:13" ht="47.25" x14ac:dyDescent="0.2">
      <c r="A1235" s="85"/>
      <c r="B1235" s="33" t="s">
        <v>495</v>
      </c>
      <c r="C1235" s="42">
        <v>942</v>
      </c>
      <c r="D1235" s="13" t="s">
        <v>6</v>
      </c>
      <c r="E1235" s="13" t="s">
        <v>17</v>
      </c>
      <c r="F1235" s="13" t="s">
        <v>23</v>
      </c>
      <c r="G1235" s="25">
        <v>1</v>
      </c>
      <c r="H1235" s="13" t="s">
        <v>2</v>
      </c>
      <c r="I1235" s="13"/>
      <c r="J1235" s="13"/>
      <c r="K1235" s="17">
        <f>K1236+K1240+K1245+K1247+K1242</f>
        <v>38522.499999999985</v>
      </c>
      <c r="L1235" s="17">
        <f>L1236+L1240+L1245+L1247+L1242</f>
        <v>29012.000000000004</v>
      </c>
      <c r="M1235" s="17">
        <f t="shared" si="142"/>
        <v>75.311830748264043</v>
      </c>
    </row>
    <row r="1236" spans="1:13" ht="31.5" x14ac:dyDescent="0.2">
      <c r="A1236" s="85"/>
      <c r="B1236" s="33" t="s">
        <v>54</v>
      </c>
      <c r="C1236" s="42">
        <v>942</v>
      </c>
      <c r="D1236" s="13" t="s">
        <v>6</v>
      </c>
      <c r="E1236" s="13" t="s">
        <v>17</v>
      </c>
      <c r="F1236" s="13" t="s">
        <v>23</v>
      </c>
      <c r="G1236" s="25">
        <v>1</v>
      </c>
      <c r="H1236" s="13" t="s">
        <v>2</v>
      </c>
      <c r="I1236" s="13" t="s">
        <v>104</v>
      </c>
      <c r="J1236" s="13"/>
      <c r="K1236" s="17">
        <f>K1237+K1238+K1239</f>
        <v>3923.7</v>
      </c>
      <c r="L1236" s="17">
        <f>L1237+L1238+L1239</f>
        <v>2587.6999999999998</v>
      </c>
      <c r="M1236" s="17">
        <f t="shared" ref="M1236:M1299" si="152">L1236/K1236*100</f>
        <v>65.950505900043325</v>
      </c>
    </row>
    <row r="1237" spans="1:13" ht="47.25" x14ac:dyDescent="0.2">
      <c r="A1237" s="85"/>
      <c r="B1237" s="33" t="s">
        <v>55</v>
      </c>
      <c r="C1237" s="42">
        <v>942</v>
      </c>
      <c r="D1237" s="13" t="s">
        <v>6</v>
      </c>
      <c r="E1237" s="13" t="s">
        <v>17</v>
      </c>
      <c r="F1237" s="13" t="s">
        <v>23</v>
      </c>
      <c r="G1237" s="25">
        <v>1</v>
      </c>
      <c r="H1237" s="13" t="s">
        <v>2</v>
      </c>
      <c r="I1237" s="13" t="s">
        <v>104</v>
      </c>
      <c r="J1237" s="13" t="s">
        <v>56</v>
      </c>
      <c r="K1237" s="17">
        <f>3742.3+37.5</f>
        <v>3779.8</v>
      </c>
      <c r="L1237" s="17">
        <v>2564.1999999999998</v>
      </c>
      <c r="M1237" s="17">
        <f t="shared" si="152"/>
        <v>67.839568231123337</v>
      </c>
    </row>
    <row r="1238" spans="1:13" ht="31.5" x14ac:dyDescent="0.2">
      <c r="A1238" s="85"/>
      <c r="B1238" s="33" t="s">
        <v>175</v>
      </c>
      <c r="C1238" s="42">
        <v>942</v>
      </c>
      <c r="D1238" s="13" t="s">
        <v>6</v>
      </c>
      <c r="E1238" s="13" t="s">
        <v>17</v>
      </c>
      <c r="F1238" s="13" t="s">
        <v>23</v>
      </c>
      <c r="G1238" s="25">
        <v>1</v>
      </c>
      <c r="H1238" s="13" t="s">
        <v>2</v>
      </c>
      <c r="I1238" s="13" t="s">
        <v>104</v>
      </c>
      <c r="J1238" s="13" t="s">
        <v>58</v>
      </c>
      <c r="K1238" s="17">
        <f>3886.2-3750.3</f>
        <v>135.89999999999964</v>
      </c>
      <c r="L1238" s="17">
        <v>23.5</v>
      </c>
      <c r="M1238" s="17">
        <f t="shared" si="152"/>
        <v>17.292126563649791</v>
      </c>
    </row>
    <row r="1239" spans="1:13" x14ac:dyDescent="0.2">
      <c r="A1239" s="85"/>
      <c r="B1239" s="33" t="s">
        <v>60</v>
      </c>
      <c r="C1239" s="42">
        <v>942</v>
      </c>
      <c r="D1239" s="13" t="s">
        <v>6</v>
      </c>
      <c r="E1239" s="13" t="s">
        <v>17</v>
      </c>
      <c r="F1239" s="13" t="s">
        <v>23</v>
      </c>
      <c r="G1239" s="25">
        <v>1</v>
      </c>
      <c r="H1239" s="13" t="s">
        <v>2</v>
      </c>
      <c r="I1239" s="13" t="s">
        <v>104</v>
      </c>
      <c r="J1239" s="13" t="s">
        <v>61</v>
      </c>
      <c r="K1239" s="17">
        <v>8</v>
      </c>
      <c r="L1239" s="17">
        <v>0</v>
      </c>
      <c r="M1239" s="17">
        <f t="shared" si="152"/>
        <v>0</v>
      </c>
    </row>
    <row r="1240" spans="1:13" ht="66.599999999999994" customHeight="1" x14ac:dyDescent="0.2">
      <c r="A1240" s="85"/>
      <c r="B1240" s="33" t="s">
        <v>88</v>
      </c>
      <c r="C1240" s="42">
        <v>942</v>
      </c>
      <c r="D1240" s="13" t="s">
        <v>6</v>
      </c>
      <c r="E1240" s="13" t="s">
        <v>17</v>
      </c>
      <c r="F1240" s="13" t="s">
        <v>23</v>
      </c>
      <c r="G1240" s="25">
        <v>1</v>
      </c>
      <c r="H1240" s="13" t="s">
        <v>2</v>
      </c>
      <c r="I1240" s="13" t="s">
        <v>116</v>
      </c>
      <c r="J1240" s="13"/>
      <c r="K1240" s="17">
        <f>SUM(K1241)</f>
        <v>33948.999999999993</v>
      </c>
      <c r="L1240" s="17">
        <f>SUM(L1241)</f>
        <v>26348.9</v>
      </c>
      <c r="M1240" s="17">
        <f t="shared" si="152"/>
        <v>77.613184482606272</v>
      </c>
    </row>
    <row r="1241" spans="1:13" ht="31.9" customHeight="1" x14ac:dyDescent="0.2">
      <c r="A1241" s="85"/>
      <c r="B1241" s="33" t="s">
        <v>76</v>
      </c>
      <c r="C1241" s="42">
        <v>942</v>
      </c>
      <c r="D1241" s="13" t="s">
        <v>6</v>
      </c>
      <c r="E1241" s="13" t="s">
        <v>17</v>
      </c>
      <c r="F1241" s="13" t="s">
        <v>23</v>
      </c>
      <c r="G1241" s="25">
        <v>1</v>
      </c>
      <c r="H1241" s="13" t="s">
        <v>2</v>
      </c>
      <c r="I1241" s="13" t="s">
        <v>116</v>
      </c>
      <c r="J1241" s="13" t="s">
        <v>77</v>
      </c>
      <c r="K1241" s="17">
        <f>26497+146.5+4817.3+903.1+1963.4-378.3</f>
        <v>33948.999999999993</v>
      </c>
      <c r="L1241" s="17">
        <v>26348.9</v>
      </c>
      <c r="M1241" s="17">
        <f t="shared" si="152"/>
        <v>77.613184482606272</v>
      </c>
    </row>
    <row r="1242" spans="1:13" ht="84.6" customHeight="1" x14ac:dyDescent="0.2">
      <c r="A1242" s="85"/>
      <c r="B1242" s="33" t="s">
        <v>558</v>
      </c>
      <c r="C1242" s="42">
        <v>942</v>
      </c>
      <c r="D1242" s="13" t="s">
        <v>6</v>
      </c>
      <c r="E1242" s="13" t="s">
        <v>17</v>
      </c>
      <c r="F1242" s="13" t="s">
        <v>23</v>
      </c>
      <c r="G1242" s="25">
        <v>1</v>
      </c>
      <c r="H1242" s="13" t="s">
        <v>2</v>
      </c>
      <c r="I1242" s="13" t="s">
        <v>567</v>
      </c>
      <c r="J1242" s="13"/>
      <c r="K1242" s="17">
        <f>K1243+K1244</f>
        <v>517.20000000000005</v>
      </c>
      <c r="L1242" s="17">
        <f>L1243+L1244</f>
        <v>0</v>
      </c>
      <c r="M1242" s="17">
        <f t="shared" si="152"/>
        <v>0</v>
      </c>
    </row>
    <row r="1243" spans="1:13" ht="48.6" customHeight="1" x14ac:dyDescent="0.2">
      <c r="A1243" s="85"/>
      <c r="B1243" s="33" t="s">
        <v>55</v>
      </c>
      <c r="C1243" s="42">
        <v>942</v>
      </c>
      <c r="D1243" s="13" t="s">
        <v>6</v>
      </c>
      <c r="E1243" s="13" t="s">
        <v>17</v>
      </c>
      <c r="F1243" s="13" t="s">
        <v>23</v>
      </c>
      <c r="G1243" s="25">
        <v>1</v>
      </c>
      <c r="H1243" s="13" t="s">
        <v>2</v>
      </c>
      <c r="I1243" s="13" t="s">
        <v>567</v>
      </c>
      <c r="J1243" s="13" t="s">
        <v>56</v>
      </c>
      <c r="K1243" s="17">
        <v>511.6</v>
      </c>
      <c r="L1243" s="17">
        <v>0</v>
      </c>
      <c r="M1243" s="17">
        <f t="shared" si="152"/>
        <v>0</v>
      </c>
    </row>
    <row r="1244" spans="1:13" ht="34.15" customHeight="1" x14ac:dyDescent="0.2">
      <c r="A1244" s="85"/>
      <c r="B1244" s="33" t="s">
        <v>175</v>
      </c>
      <c r="C1244" s="42">
        <v>942</v>
      </c>
      <c r="D1244" s="13" t="s">
        <v>6</v>
      </c>
      <c r="E1244" s="13" t="s">
        <v>17</v>
      </c>
      <c r="F1244" s="13" t="s">
        <v>23</v>
      </c>
      <c r="G1244" s="25">
        <v>1</v>
      </c>
      <c r="H1244" s="13" t="s">
        <v>2</v>
      </c>
      <c r="I1244" s="13" t="s">
        <v>567</v>
      </c>
      <c r="J1244" s="13" t="s">
        <v>58</v>
      </c>
      <c r="K1244" s="17">
        <v>5.6</v>
      </c>
      <c r="L1244" s="17">
        <v>0</v>
      </c>
      <c r="M1244" s="17">
        <f t="shared" si="152"/>
        <v>0</v>
      </c>
    </row>
    <row r="1245" spans="1:13" ht="34.15" customHeight="1" x14ac:dyDescent="0.2">
      <c r="A1245" s="85"/>
      <c r="B1245" s="33" t="s">
        <v>456</v>
      </c>
      <c r="C1245" s="42">
        <v>942</v>
      </c>
      <c r="D1245" s="13" t="s">
        <v>6</v>
      </c>
      <c r="E1245" s="13" t="s">
        <v>17</v>
      </c>
      <c r="F1245" s="13" t="s">
        <v>23</v>
      </c>
      <c r="G1245" s="25">
        <v>1</v>
      </c>
      <c r="H1245" s="13" t="s">
        <v>2</v>
      </c>
      <c r="I1245" s="13" t="s">
        <v>455</v>
      </c>
      <c r="J1245" s="13"/>
      <c r="K1245" s="17">
        <f>K1246</f>
        <v>16.600000000000001</v>
      </c>
      <c r="L1245" s="17">
        <f>L1246</f>
        <v>0</v>
      </c>
      <c r="M1245" s="17">
        <f t="shared" si="152"/>
        <v>0</v>
      </c>
    </row>
    <row r="1246" spans="1:13" ht="31.5" customHeight="1" x14ac:dyDescent="0.2">
      <c r="A1246" s="85"/>
      <c r="B1246" s="33" t="s">
        <v>175</v>
      </c>
      <c r="C1246" s="42">
        <v>942</v>
      </c>
      <c r="D1246" s="13" t="s">
        <v>6</v>
      </c>
      <c r="E1246" s="13" t="s">
        <v>17</v>
      </c>
      <c r="F1246" s="13" t="s">
        <v>23</v>
      </c>
      <c r="G1246" s="25">
        <v>1</v>
      </c>
      <c r="H1246" s="13" t="s">
        <v>2</v>
      </c>
      <c r="I1246" s="13" t="s">
        <v>455</v>
      </c>
      <c r="J1246" s="13" t="s">
        <v>58</v>
      </c>
      <c r="K1246" s="17">
        <v>16.600000000000001</v>
      </c>
      <c r="L1246" s="17">
        <v>0</v>
      </c>
      <c r="M1246" s="17">
        <f t="shared" si="152"/>
        <v>0</v>
      </c>
    </row>
    <row r="1247" spans="1:13" ht="37.15" customHeight="1" x14ac:dyDescent="0.2">
      <c r="A1247" s="85"/>
      <c r="B1247" s="33" t="s">
        <v>463</v>
      </c>
      <c r="C1247" s="42">
        <v>942</v>
      </c>
      <c r="D1247" s="13" t="s">
        <v>6</v>
      </c>
      <c r="E1247" s="13" t="s">
        <v>17</v>
      </c>
      <c r="F1247" s="13" t="s">
        <v>23</v>
      </c>
      <c r="G1247" s="25">
        <v>1</v>
      </c>
      <c r="H1247" s="13" t="s">
        <v>2</v>
      </c>
      <c r="I1247" s="13" t="s">
        <v>462</v>
      </c>
      <c r="J1247" s="13"/>
      <c r="K1247" s="17">
        <f>K1248</f>
        <v>116</v>
      </c>
      <c r="L1247" s="17">
        <f>L1248</f>
        <v>75.400000000000006</v>
      </c>
      <c r="M1247" s="17">
        <f t="shared" si="152"/>
        <v>65</v>
      </c>
    </row>
    <row r="1248" spans="1:13" ht="30.75" customHeight="1" x14ac:dyDescent="0.2">
      <c r="A1248" s="85"/>
      <c r="B1248" s="33" t="s">
        <v>175</v>
      </c>
      <c r="C1248" s="42">
        <v>942</v>
      </c>
      <c r="D1248" s="13" t="s">
        <v>6</v>
      </c>
      <c r="E1248" s="13" t="s">
        <v>17</v>
      </c>
      <c r="F1248" s="13" t="s">
        <v>23</v>
      </c>
      <c r="G1248" s="25">
        <v>1</v>
      </c>
      <c r="H1248" s="13" t="s">
        <v>2</v>
      </c>
      <c r="I1248" s="13" t="s">
        <v>462</v>
      </c>
      <c r="J1248" s="13" t="s">
        <v>58</v>
      </c>
      <c r="K1248" s="17">
        <v>116</v>
      </c>
      <c r="L1248" s="17">
        <v>75.400000000000006</v>
      </c>
      <c r="M1248" s="17">
        <f t="shared" si="152"/>
        <v>65</v>
      </c>
    </row>
    <row r="1249" spans="1:13" x14ac:dyDescent="0.2">
      <c r="A1249" s="85"/>
      <c r="B1249" s="33" t="s">
        <v>18</v>
      </c>
      <c r="C1249" s="42">
        <v>942</v>
      </c>
      <c r="D1249" s="13" t="s">
        <v>8</v>
      </c>
      <c r="E1249" s="13"/>
      <c r="F1249" s="13"/>
      <c r="G1249" s="25"/>
      <c r="H1249" s="13"/>
      <c r="I1249" s="13"/>
      <c r="J1249" s="13"/>
      <c r="K1249" s="17">
        <f t="shared" ref="K1249:L1253" si="153">SUM(K1250)</f>
        <v>25.1</v>
      </c>
      <c r="L1249" s="17">
        <f t="shared" si="153"/>
        <v>9.5</v>
      </c>
      <c r="M1249" s="17">
        <f t="shared" si="152"/>
        <v>37.848605577689241</v>
      </c>
    </row>
    <row r="1250" spans="1:13" ht="31.5" x14ac:dyDescent="0.2">
      <c r="A1250" s="85"/>
      <c r="B1250" s="33" t="s">
        <v>457</v>
      </c>
      <c r="C1250" s="42">
        <v>942</v>
      </c>
      <c r="D1250" s="13" t="s">
        <v>8</v>
      </c>
      <c r="E1250" s="13" t="s">
        <v>7</v>
      </c>
      <c r="F1250" s="13"/>
      <c r="G1250" s="25"/>
      <c r="H1250" s="13"/>
      <c r="I1250" s="13"/>
      <c r="J1250" s="13"/>
      <c r="K1250" s="17">
        <f t="shared" si="153"/>
        <v>25.1</v>
      </c>
      <c r="L1250" s="17">
        <f t="shared" si="153"/>
        <v>9.5</v>
      </c>
      <c r="M1250" s="17">
        <f t="shared" si="152"/>
        <v>37.848605577689241</v>
      </c>
    </row>
    <row r="1251" spans="1:13" ht="49.9" customHeight="1" x14ac:dyDescent="0.2">
      <c r="A1251" s="85"/>
      <c r="B1251" s="33" t="s">
        <v>580</v>
      </c>
      <c r="C1251" s="42">
        <v>942</v>
      </c>
      <c r="D1251" s="13" t="s">
        <v>8</v>
      </c>
      <c r="E1251" s="13" t="s">
        <v>7</v>
      </c>
      <c r="F1251" s="13" t="s">
        <v>23</v>
      </c>
      <c r="G1251" s="25"/>
      <c r="H1251" s="13"/>
      <c r="I1251" s="13"/>
      <c r="J1251" s="13"/>
      <c r="K1251" s="17">
        <f t="shared" si="153"/>
        <v>25.1</v>
      </c>
      <c r="L1251" s="17">
        <f t="shared" si="153"/>
        <v>9.5</v>
      </c>
      <c r="M1251" s="17">
        <f t="shared" si="152"/>
        <v>37.848605577689241</v>
      </c>
    </row>
    <row r="1252" spans="1:13" ht="52.15" customHeight="1" x14ac:dyDescent="0.2">
      <c r="A1252" s="85"/>
      <c r="B1252" s="33" t="s">
        <v>581</v>
      </c>
      <c r="C1252" s="42">
        <v>942</v>
      </c>
      <c r="D1252" s="13" t="s">
        <v>8</v>
      </c>
      <c r="E1252" s="13" t="s">
        <v>7</v>
      </c>
      <c r="F1252" s="13" t="s">
        <v>23</v>
      </c>
      <c r="G1252" s="25">
        <v>1</v>
      </c>
      <c r="H1252" s="13"/>
      <c r="I1252" s="13"/>
      <c r="J1252" s="13"/>
      <c r="K1252" s="17">
        <f t="shared" si="153"/>
        <v>25.1</v>
      </c>
      <c r="L1252" s="17">
        <f t="shared" si="153"/>
        <v>9.5</v>
      </c>
      <c r="M1252" s="17">
        <f t="shared" si="152"/>
        <v>37.848605577689241</v>
      </c>
    </row>
    <row r="1253" spans="1:13" ht="52.15" customHeight="1" x14ac:dyDescent="0.2">
      <c r="A1253" s="85"/>
      <c r="B1253" s="33" t="s">
        <v>495</v>
      </c>
      <c r="C1253" s="42">
        <v>942</v>
      </c>
      <c r="D1253" s="13" t="s">
        <v>8</v>
      </c>
      <c r="E1253" s="13" t="s">
        <v>7</v>
      </c>
      <c r="F1253" s="13" t="s">
        <v>23</v>
      </c>
      <c r="G1253" s="25">
        <v>1</v>
      </c>
      <c r="H1253" s="13" t="s">
        <v>2</v>
      </c>
      <c r="I1253" s="13"/>
      <c r="J1253" s="13"/>
      <c r="K1253" s="17">
        <f t="shared" si="153"/>
        <v>25.1</v>
      </c>
      <c r="L1253" s="17">
        <f t="shared" si="153"/>
        <v>9.5</v>
      </c>
      <c r="M1253" s="17">
        <f t="shared" si="152"/>
        <v>37.848605577689241</v>
      </c>
    </row>
    <row r="1254" spans="1:13" ht="33.6" customHeight="1" x14ac:dyDescent="0.2">
      <c r="A1254" s="85"/>
      <c r="B1254" s="33" t="s">
        <v>459</v>
      </c>
      <c r="C1254" s="42">
        <v>942</v>
      </c>
      <c r="D1254" s="13" t="s">
        <v>8</v>
      </c>
      <c r="E1254" s="13" t="s">
        <v>7</v>
      </c>
      <c r="F1254" s="13" t="s">
        <v>23</v>
      </c>
      <c r="G1254" s="25">
        <v>1</v>
      </c>
      <c r="H1254" s="13" t="s">
        <v>2</v>
      </c>
      <c r="I1254" s="13" t="s">
        <v>458</v>
      </c>
      <c r="J1254" s="13"/>
      <c r="K1254" s="17">
        <f>K1255</f>
        <v>25.1</v>
      </c>
      <c r="L1254" s="17">
        <f>L1255</f>
        <v>9.5</v>
      </c>
      <c r="M1254" s="17">
        <f t="shared" si="152"/>
        <v>37.848605577689241</v>
      </c>
    </row>
    <row r="1255" spans="1:13" ht="33" customHeight="1" x14ac:dyDescent="0.2">
      <c r="A1255" s="85"/>
      <c r="B1255" s="33" t="s">
        <v>175</v>
      </c>
      <c r="C1255" s="42">
        <v>942</v>
      </c>
      <c r="D1255" s="13" t="s">
        <v>8</v>
      </c>
      <c r="E1255" s="13" t="s">
        <v>7</v>
      </c>
      <c r="F1255" s="13" t="s">
        <v>23</v>
      </c>
      <c r="G1255" s="25">
        <v>1</v>
      </c>
      <c r="H1255" s="13" t="s">
        <v>2</v>
      </c>
      <c r="I1255" s="13" t="s">
        <v>458</v>
      </c>
      <c r="J1255" s="13" t="s">
        <v>58</v>
      </c>
      <c r="K1255" s="17">
        <v>25.1</v>
      </c>
      <c r="L1255" s="17">
        <v>9.5</v>
      </c>
      <c r="M1255" s="17">
        <f t="shared" si="152"/>
        <v>37.848605577689241</v>
      </c>
    </row>
    <row r="1256" spans="1:13" ht="35.450000000000003" customHeight="1" x14ac:dyDescent="0.2">
      <c r="A1256" s="92" t="s">
        <v>10</v>
      </c>
      <c r="B1256" s="33" t="s">
        <v>179</v>
      </c>
      <c r="C1256" s="26" t="s">
        <v>180</v>
      </c>
      <c r="D1256" s="13"/>
      <c r="E1256" s="13"/>
      <c r="F1256" s="13"/>
      <c r="G1256" s="13"/>
      <c r="H1256" s="13"/>
      <c r="I1256" s="13"/>
      <c r="J1256" s="13"/>
      <c r="K1256" s="17">
        <f>SUM(K1257+K1284)</f>
        <v>12306.9</v>
      </c>
      <c r="L1256" s="17">
        <f>SUM(L1257+L1284)</f>
        <v>8168.3</v>
      </c>
      <c r="M1256" s="17">
        <f t="shared" si="152"/>
        <v>66.371710178842775</v>
      </c>
    </row>
    <row r="1257" spans="1:13" ht="19.149999999999999" customHeight="1" x14ac:dyDescent="0.2">
      <c r="A1257" s="85"/>
      <c r="B1257" s="33" t="s">
        <v>1</v>
      </c>
      <c r="C1257" s="26" t="s">
        <v>180</v>
      </c>
      <c r="D1257" s="13" t="s">
        <v>2</v>
      </c>
      <c r="E1257" s="13"/>
      <c r="F1257" s="13"/>
      <c r="G1257" s="13"/>
      <c r="H1257" s="13"/>
      <c r="I1257" s="13"/>
      <c r="J1257" s="13"/>
      <c r="K1257" s="17">
        <f t="shared" ref="K1257:L1263" si="154">SUM(K1258)</f>
        <v>12281.8</v>
      </c>
      <c r="L1257" s="17">
        <f t="shared" si="154"/>
        <v>8168.3</v>
      </c>
      <c r="M1257" s="17">
        <f t="shared" si="152"/>
        <v>66.50735234249052</v>
      </c>
    </row>
    <row r="1258" spans="1:13" ht="21" customHeight="1" x14ac:dyDescent="0.2">
      <c r="A1258" s="85"/>
      <c r="B1258" s="33" t="s">
        <v>9</v>
      </c>
      <c r="C1258" s="26" t="s">
        <v>180</v>
      </c>
      <c r="D1258" s="13" t="s">
        <v>2</v>
      </c>
      <c r="E1258" s="13" t="s">
        <v>41</v>
      </c>
      <c r="F1258" s="13"/>
      <c r="G1258" s="13"/>
      <c r="H1258" s="13"/>
      <c r="I1258" s="13"/>
      <c r="J1258" s="13"/>
      <c r="K1258" s="17">
        <f>SUM(K1263+K1259)</f>
        <v>12281.8</v>
      </c>
      <c r="L1258" s="17">
        <f>SUM(L1263+L1259)</f>
        <v>8168.3</v>
      </c>
      <c r="M1258" s="17">
        <f t="shared" si="152"/>
        <v>66.50735234249052</v>
      </c>
    </row>
    <row r="1259" spans="1:13" ht="34.9" customHeight="1" x14ac:dyDescent="0.2">
      <c r="A1259" s="85"/>
      <c r="B1259" s="33" t="s">
        <v>279</v>
      </c>
      <c r="C1259" s="26" t="s">
        <v>180</v>
      </c>
      <c r="D1259" s="13" t="s">
        <v>2</v>
      </c>
      <c r="E1259" s="13" t="s">
        <v>41</v>
      </c>
      <c r="F1259" s="13" t="s">
        <v>128</v>
      </c>
      <c r="G1259" s="13"/>
      <c r="H1259" s="13"/>
      <c r="I1259" s="13"/>
      <c r="J1259" s="13"/>
      <c r="K1259" s="17">
        <f t="shared" ref="K1259:L1261" si="155">K1260</f>
        <v>0</v>
      </c>
      <c r="L1259" s="17">
        <f t="shared" si="155"/>
        <v>0</v>
      </c>
      <c r="M1259" s="17"/>
    </row>
    <row r="1260" spans="1:13" ht="34.15" customHeight="1" x14ac:dyDescent="0.2">
      <c r="A1260" s="85"/>
      <c r="B1260" s="33" t="s">
        <v>489</v>
      </c>
      <c r="C1260" s="26" t="s">
        <v>180</v>
      </c>
      <c r="D1260" s="13" t="s">
        <v>2</v>
      </c>
      <c r="E1260" s="13" t="s">
        <v>41</v>
      </c>
      <c r="F1260" s="13" t="s">
        <v>128</v>
      </c>
      <c r="G1260" s="13" t="s">
        <v>189</v>
      </c>
      <c r="H1260" s="13"/>
      <c r="I1260" s="13"/>
      <c r="J1260" s="13"/>
      <c r="K1260" s="17">
        <f t="shared" si="155"/>
        <v>0</v>
      </c>
      <c r="L1260" s="17">
        <f t="shared" si="155"/>
        <v>0</v>
      </c>
      <c r="M1260" s="17"/>
    </row>
    <row r="1261" spans="1:13" ht="66" customHeight="1" x14ac:dyDescent="0.2">
      <c r="A1261" s="85"/>
      <c r="B1261" s="33" t="s">
        <v>490</v>
      </c>
      <c r="C1261" s="26" t="s">
        <v>180</v>
      </c>
      <c r="D1261" s="13" t="s">
        <v>2</v>
      </c>
      <c r="E1261" s="13" t="s">
        <v>41</v>
      </c>
      <c r="F1261" s="13" t="s">
        <v>487</v>
      </c>
      <c r="G1261" s="13" t="s">
        <v>189</v>
      </c>
      <c r="H1261" s="13" t="s">
        <v>102</v>
      </c>
      <c r="I1261" s="13" t="s">
        <v>488</v>
      </c>
      <c r="J1261" s="13"/>
      <c r="K1261" s="17">
        <f t="shared" si="155"/>
        <v>0</v>
      </c>
      <c r="L1261" s="17">
        <f t="shared" si="155"/>
        <v>0</v>
      </c>
      <c r="M1261" s="17"/>
    </row>
    <row r="1262" spans="1:13" ht="17.25" customHeight="1" x14ac:dyDescent="0.2">
      <c r="A1262" s="85"/>
      <c r="B1262" s="33" t="s">
        <v>60</v>
      </c>
      <c r="C1262" s="26" t="s">
        <v>180</v>
      </c>
      <c r="D1262" s="13" t="s">
        <v>2</v>
      </c>
      <c r="E1262" s="13" t="s">
        <v>41</v>
      </c>
      <c r="F1262" s="13" t="s">
        <v>487</v>
      </c>
      <c r="G1262" s="13" t="s">
        <v>189</v>
      </c>
      <c r="H1262" s="13" t="s">
        <v>102</v>
      </c>
      <c r="I1262" s="13" t="s">
        <v>488</v>
      </c>
      <c r="J1262" s="13" t="s">
        <v>61</v>
      </c>
      <c r="K1262" s="17">
        <v>0</v>
      </c>
      <c r="L1262" s="17">
        <v>0</v>
      </c>
      <c r="M1262" s="17"/>
    </row>
    <row r="1263" spans="1:13" ht="51" customHeight="1" x14ac:dyDescent="0.2">
      <c r="A1263" s="85"/>
      <c r="B1263" s="33" t="s">
        <v>306</v>
      </c>
      <c r="C1263" s="26" t="s">
        <v>180</v>
      </c>
      <c r="D1263" s="13" t="s">
        <v>2</v>
      </c>
      <c r="E1263" s="13" t="s">
        <v>41</v>
      </c>
      <c r="F1263" s="13" t="s">
        <v>185</v>
      </c>
      <c r="G1263" s="13"/>
      <c r="H1263" s="13"/>
      <c r="I1263" s="13"/>
      <c r="J1263" s="13"/>
      <c r="K1263" s="17">
        <f t="shared" si="154"/>
        <v>12281.8</v>
      </c>
      <c r="L1263" s="17">
        <f t="shared" si="154"/>
        <v>8168.3</v>
      </c>
      <c r="M1263" s="17">
        <f t="shared" si="152"/>
        <v>66.50735234249052</v>
      </c>
    </row>
    <row r="1264" spans="1:13" ht="48.6" customHeight="1" x14ac:dyDescent="0.2">
      <c r="A1264" s="85"/>
      <c r="B1264" s="33" t="s">
        <v>307</v>
      </c>
      <c r="C1264" s="26" t="s">
        <v>180</v>
      </c>
      <c r="D1264" s="13" t="s">
        <v>2</v>
      </c>
      <c r="E1264" s="13" t="s">
        <v>41</v>
      </c>
      <c r="F1264" s="13" t="s">
        <v>185</v>
      </c>
      <c r="G1264" s="13" t="s">
        <v>126</v>
      </c>
      <c r="H1264" s="13"/>
      <c r="I1264" s="13"/>
      <c r="J1264" s="13"/>
      <c r="K1264" s="17">
        <f>SUM(K1265+K1275+K1278+K1281)</f>
        <v>12281.8</v>
      </c>
      <c r="L1264" s="17">
        <f>SUM(L1265+L1275+L1278+L1281)</f>
        <v>8168.3</v>
      </c>
      <c r="M1264" s="17">
        <f t="shared" si="152"/>
        <v>66.50735234249052</v>
      </c>
    </row>
    <row r="1265" spans="1:13" ht="46.9" customHeight="1" x14ac:dyDescent="0.2">
      <c r="A1265" s="85"/>
      <c r="B1265" s="33" t="s">
        <v>186</v>
      </c>
      <c r="C1265" s="26" t="s">
        <v>180</v>
      </c>
      <c r="D1265" s="13" t="s">
        <v>2</v>
      </c>
      <c r="E1265" s="13" t="s">
        <v>41</v>
      </c>
      <c r="F1265" s="13" t="s">
        <v>185</v>
      </c>
      <c r="G1265" s="13" t="s">
        <v>126</v>
      </c>
      <c r="H1265" s="13" t="s">
        <v>2</v>
      </c>
      <c r="I1265" s="13"/>
      <c r="J1265" s="13"/>
      <c r="K1265" s="17">
        <f>SUM(K1266+K1271+K1273)</f>
        <v>7677.9000000000005</v>
      </c>
      <c r="L1265" s="17">
        <f>SUM(L1266+L1271+L1273)</f>
        <v>4238</v>
      </c>
      <c r="M1265" s="17">
        <f t="shared" si="152"/>
        <v>55.197384701545992</v>
      </c>
    </row>
    <row r="1266" spans="1:13" ht="21" customHeight="1" x14ac:dyDescent="0.2">
      <c r="A1266" s="85"/>
      <c r="B1266" s="33" t="s">
        <v>54</v>
      </c>
      <c r="C1266" s="26" t="s">
        <v>180</v>
      </c>
      <c r="D1266" s="13" t="s">
        <v>2</v>
      </c>
      <c r="E1266" s="13" t="s">
        <v>41</v>
      </c>
      <c r="F1266" s="13" t="s">
        <v>185</v>
      </c>
      <c r="G1266" s="13" t="s">
        <v>126</v>
      </c>
      <c r="H1266" s="13" t="s">
        <v>2</v>
      </c>
      <c r="I1266" s="13" t="s">
        <v>104</v>
      </c>
      <c r="J1266" s="13"/>
      <c r="K1266" s="17">
        <f>SUM(K1267:K1270)</f>
        <v>7592.8</v>
      </c>
      <c r="L1266" s="17">
        <f>SUM(L1267:L1270)</f>
        <v>4238</v>
      </c>
      <c r="M1266" s="17">
        <f t="shared" si="152"/>
        <v>55.816036244863554</v>
      </c>
    </row>
    <row r="1267" spans="1:13" ht="50.45" customHeight="1" x14ac:dyDescent="0.2">
      <c r="A1267" s="85"/>
      <c r="B1267" s="33" t="s">
        <v>55</v>
      </c>
      <c r="C1267" s="26" t="s">
        <v>180</v>
      </c>
      <c r="D1267" s="13" t="s">
        <v>2</v>
      </c>
      <c r="E1267" s="13" t="s">
        <v>41</v>
      </c>
      <c r="F1267" s="13" t="s">
        <v>185</v>
      </c>
      <c r="G1267" s="13" t="s">
        <v>126</v>
      </c>
      <c r="H1267" s="13" t="s">
        <v>2</v>
      </c>
      <c r="I1267" s="13" t="s">
        <v>104</v>
      </c>
      <c r="J1267" s="13" t="s">
        <v>56</v>
      </c>
      <c r="K1267" s="17">
        <f>7344+69.1</f>
        <v>7413.1</v>
      </c>
      <c r="L1267" s="17">
        <v>4179.1000000000004</v>
      </c>
      <c r="M1267" s="17">
        <f t="shared" si="152"/>
        <v>56.374526176633253</v>
      </c>
    </row>
    <row r="1268" spans="1:13" ht="36" customHeight="1" x14ac:dyDescent="0.2">
      <c r="A1268" s="85"/>
      <c r="B1268" s="33" t="s">
        <v>175</v>
      </c>
      <c r="C1268" s="26" t="s">
        <v>180</v>
      </c>
      <c r="D1268" s="13" t="s">
        <v>2</v>
      </c>
      <c r="E1268" s="13" t="s">
        <v>41</v>
      </c>
      <c r="F1268" s="13" t="s">
        <v>185</v>
      </c>
      <c r="G1268" s="13" t="s">
        <v>126</v>
      </c>
      <c r="H1268" s="13" t="s">
        <v>2</v>
      </c>
      <c r="I1268" s="13" t="s">
        <v>104</v>
      </c>
      <c r="J1268" s="13" t="s">
        <v>58</v>
      </c>
      <c r="K1268" s="17">
        <f>7523.7-7352</f>
        <v>171.69999999999982</v>
      </c>
      <c r="L1268" s="17">
        <v>58.9</v>
      </c>
      <c r="M1268" s="17">
        <f t="shared" si="152"/>
        <v>34.304018637157867</v>
      </c>
    </row>
    <row r="1269" spans="1:13" ht="19.149999999999999" customHeight="1" x14ac:dyDescent="0.2">
      <c r="A1269" s="85"/>
      <c r="B1269" s="33" t="s">
        <v>69</v>
      </c>
      <c r="C1269" s="26" t="s">
        <v>180</v>
      </c>
      <c r="D1269" s="13" t="s">
        <v>2</v>
      </c>
      <c r="E1269" s="13" t="s">
        <v>41</v>
      </c>
      <c r="F1269" s="13" t="s">
        <v>185</v>
      </c>
      <c r="G1269" s="13" t="s">
        <v>126</v>
      </c>
      <c r="H1269" s="13" t="s">
        <v>2</v>
      </c>
      <c r="I1269" s="13" t="s">
        <v>104</v>
      </c>
      <c r="J1269" s="13" t="s">
        <v>70</v>
      </c>
      <c r="K1269" s="17">
        <v>0</v>
      </c>
      <c r="L1269" s="17">
        <v>0</v>
      </c>
      <c r="M1269" s="17"/>
    </row>
    <row r="1270" spans="1:13" ht="24.6" customHeight="1" x14ac:dyDescent="0.2">
      <c r="A1270" s="85"/>
      <c r="B1270" s="33" t="s">
        <v>60</v>
      </c>
      <c r="C1270" s="26" t="s">
        <v>180</v>
      </c>
      <c r="D1270" s="13" t="s">
        <v>2</v>
      </c>
      <c r="E1270" s="13" t="s">
        <v>41</v>
      </c>
      <c r="F1270" s="13" t="s">
        <v>185</v>
      </c>
      <c r="G1270" s="13" t="s">
        <v>126</v>
      </c>
      <c r="H1270" s="13" t="s">
        <v>2</v>
      </c>
      <c r="I1270" s="13" t="s">
        <v>104</v>
      </c>
      <c r="J1270" s="13" t="s">
        <v>61</v>
      </c>
      <c r="K1270" s="17">
        <v>8</v>
      </c>
      <c r="L1270" s="17">
        <v>0</v>
      </c>
      <c r="M1270" s="17">
        <f t="shared" si="152"/>
        <v>0</v>
      </c>
    </row>
    <row r="1271" spans="1:13" ht="37.9" customHeight="1" x14ac:dyDescent="0.2">
      <c r="A1271" s="85"/>
      <c r="B1271" s="33" t="s">
        <v>456</v>
      </c>
      <c r="C1271" s="42">
        <v>947</v>
      </c>
      <c r="D1271" s="13" t="s">
        <v>2</v>
      </c>
      <c r="E1271" s="13" t="s">
        <v>41</v>
      </c>
      <c r="F1271" s="13" t="s">
        <v>185</v>
      </c>
      <c r="G1271" s="25">
        <v>1</v>
      </c>
      <c r="H1271" s="13" t="s">
        <v>2</v>
      </c>
      <c r="I1271" s="13" t="s">
        <v>455</v>
      </c>
      <c r="J1271" s="13"/>
      <c r="K1271" s="17">
        <f>SUM(K1272)</f>
        <v>27.1</v>
      </c>
      <c r="L1271" s="17">
        <f>SUM(L1272)</f>
        <v>0</v>
      </c>
      <c r="M1271" s="17">
        <f t="shared" si="152"/>
        <v>0</v>
      </c>
    </row>
    <row r="1272" spans="1:13" ht="34.9" customHeight="1" x14ac:dyDescent="0.2">
      <c r="A1272" s="85"/>
      <c r="B1272" s="33" t="s">
        <v>175</v>
      </c>
      <c r="C1272" s="42">
        <v>947</v>
      </c>
      <c r="D1272" s="13" t="s">
        <v>2</v>
      </c>
      <c r="E1272" s="13" t="s">
        <v>41</v>
      </c>
      <c r="F1272" s="13" t="s">
        <v>185</v>
      </c>
      <c r="G1272" s="25">
        <v>1</v>
      </c>
      <c r="H1272" s="13" t="s">
        <v>2</v>
      </c>
      <c r="I1272" s="13" t="s">
        <v>455</v>
      </c>
      <c r="J1272" s="13" t="s">
        <v>58</v>
      </c>
      <c r="K1272" s="17">
        <v>27.1</v>
      </c>
      <c r="L1272" s="17">
        <v>0</v>
      </c>
      <c r="M1272" s="17">
        <f t="shared" si="152"/>
        <v>0</v>
      </c>
    </row>
    <row r="1273" spans="1:13" ht="33.6" customHeight="1" x14ac:dyDescent="0.2">
      <c r="A1273" s="85"/>
      <c r="B1273" s="33" t="s">
        <v>460</v>
      </c>
      <c r="C1273" s="42">
        <v>947</v>
      </c>
      <c r="D1273" s="13" t="s">
        <v>2</v>
      </c>
      <c r="E1273" s="13" t="s">
        <v>41</v>
      </c>
      <c r="F1273" s="13" t="s">
        <v>185</v>
      </c>
      <c r="G1273" s="25">
        <v>1</v>
      </c>
      <c r="H1273" s="13" t="s">
        <v>2</v>
      </c>
      <c r="I1273" s="13" t="s">
        <v>461</v>
      </c>
      <c r="J1273" s="13"/>
      <c r="K1273" s="17">
        <f>SUM(K1274)</f>
        <v>58</v>
      </c>
      <c r="L1273" s="17">
        <f>SUM(L1274)</f>
        <v>0</v>
      </c>
      <c r="M1273" s="17">
        <f t="shared" si="152"/>
        <v>0</v>
      </c>
    </row>
    <row r="1274" spans="1:13" ht="33.6" customHeight="1" x14ac:dyDescent="0.2">
      <c r="A1274" s="85"/>
      <c r="B1274" s="33" t="s">
        <v>175</v>
      </c>
      <c r="C1274" s="42">
        <v>947</v>
      </c>
      <c r="D1274" s="13" t="s">
        <v>2</v>
      </c>
      <c r="E1274" s="13" t="s">
        <v>41</v>
      </c>
      <c r="F1274" s="13" t="s">
        <v>185</v>
      </c>
      <c r="G1274" s="25">
        <v>1</v>
      </c>
      <c r="H1274" s="13" t="s">
        <v>2</v>
      </c>
      <c r="I1274" s="13" t="s">
        <v>461</v>
      </c>
      <c r="J1274" s="13" t="s">
        <v>58</v>
      </c>
      <c r="K1274" s="17">
        <v>58</v>
      </c>
      <c r="L1274" s="17">
        <v>0</v>
      </c>
      <c r="M1274" s="17">
        <f t="shared" si="152"/>
        <v>0</v>
      </c>
    </row>
    <row r="1275" spans="1:13" ht="48" customHeight="1" x14ac:dyDescent="0.2">
      <c r="A1275" s="85"/>
      <c r="B1275" s="33" t="s">
        <v>308</v>
      </c>
      <c r="C1275" s="26" t="s">
        <v>180</v>
      </c>
      <c r="D1275" s="13" t="s">
        <v>2</v>
      </c>
      <c r="E1275" s="13" t="s">
        <v>41</v>
      </c>
      <c r="F1275" s="13" t="s">
        <v>185</v>
      </c>
      <c r="G1275" s="13" t="s">
        <v>126</v>
      </c>
      <c r="H1275" s="13" t="s">
        <v>4</v>
      </c>
      <c r="I1275" s="13"/>
      <c r="J1275" s="13"/>
      <c r="K1275" s="17">
        <f t="shared" ref="K1275:L1276" si="156">K1276</f>
        <v>3963.1</v>
      </c>
      <c r="L1275" s="17">
        <f t="shared" si="156"/>
        <v>3306.1</v>
      </c>
      <c r="M1275" s="17">
        <f t="shared" si="152"/>
        <v>83.42206858267518</v>
      </c>
    </row>
    <row r="1276" spans="1:13" ht="64.150000000000006" customHeight="1" x14ac:dyDescent="0.2">
      <c r="A1276" s="85"/>
      <c r="B1276" s="33" t="s">
        <v>88</v>
      </c>
      <c r="C1276" s="26" t="s">
        <v>180</v>
      </c>
      <c r="D1276" s="13" t="s">
        <v>2</v>
      </c>
      <c r="E1276" s="13" t="s">
        <v>41</v>
      </c>
      <c r="F1276" s="13" t="s">
        <v>185</v>
      </c>
      <c r="G1276" s="13" t="s">
        <v>126</v>
      </c>
      <c r="H1276" s="13" t="s">
        <v>4</v>
      </c>
      <c r="I1276" s="13" t="s">
        <v>116</v>
      </c>
      <c r="J1276" s="13"/>
      <c r="K1276" s="17">
        <f t="shared" si="156"/>
        <v>3963.1</v>
      </c>
      <c r="L1276" s="17">
        <f t="shared" si="156"/>
        <v>3306.1</v>
      </c>
      <c r="M1276" s="17">
        <f t="shared" si="152"/>
        <v>83.42206858267518</v>
      </c>
    </row>
    <row r="1277" spans="1:13" ht="34.9" customHeight="1" x14ac:dyDescent="0.2">
      <c r="A1277" s="85"/>
      <c r="B1277" s="33" t="s">
        <v>76</v>
      </c>
      <c r="C1277" s="26" t="s">
        <v>180</v>
      </c>
      <c r="D1277" s="13" t="s">
        <v>2</v>
      </c>
      <c r="E1277" s="13" t="s">
        <v>41</v>
      </c>
      <c r="F1277" s="13" t="s">
        <v>185</v>
      </c>
      <c r="G1277" s="13" t="s">
        <v>126</v>
      </c>
      <c r="H1277" s="13" t="s">
        <v>4</v>
      </c>
      <c r="I1277" s="13" t="s">
        <v>116</v>
      </c>
      <c r="J1277" s="13" t="s">
        <v>77</v>
      </c>
      <c r="K1277" s="17">
        <f>2627.1+20.5+1315.5</f>
        <v>3963.1</v>
      </c>
      <c r="L1277" s="17">
        <v>3306.1</v>
      </c>
      <c r="M1277" s="17">
        <f t="shared" si="152"/>
        <v>83.42206858267518</v>
      </c>
    </row>
    <row r="1278" spans="1:13" ht="51.6" customHeight="1" x14ac:dyDescent="0.2">
      <c r="A1278" s="85"/>
      <c r="B1278" s="33" t="s">
        <v>230</v>
      </c>
      <c r="C1278" s="26" t="s">
        <v>180</v>
      </c>
      <c r="D1278" s="13" t="s">
        <v>2</v>
      </c>
      <c r="E1278" s="13" t="s">
        <v>41</v>
      </c>
      <c r="F1278" s="13" t="s">
        <v>185</v>
      </c>
      <c r="G1278" s="13" t="s">
        <v>126</v>
      </c>
      <c r="H1278" s="13" t="s">
        <v>5</v>
      </c>
      <c r="I1278" s="13"/>
      <c r="J1278" s="13"/>
      <c r="K1278" s="17">
        <f t="shared" ref="K1278:L1278" si="157">SUM(K1279)</f>
        <v>250</v>
      </c>
      <c r="L1278" s="17">
        <f t="shared" si="157"/>
        <v>250</v>
      </c>
      <c r="M1278" s="17">
        <f t="shared" si="152"/>
        <v>100</v>
      </c>
    </row>
    <row r="1279" spans="1:13" ht="51.6" customHeight="1" x14ac:dyDescent="0.2">
      <c r="A1279" s="85"/>
      <c r="B1279" s="33" t="s">
        <v>309</v>
      </c>
      <c r="C1279" s="26" t="s">
        <v>180</v>
      </c>
      <c r="D1279" s="13" t="s">
        <v>2</v>
      </c>
      <c r="E1279" s="13" t="s">
        <v>41</v>
      </c>
      <c r="F1279" s="13" t="s">
        <v>185</v>
      </c>
      <c r="G1279" s="13" t="s">
        <v>126</v>
      </c>
      <c r="H1279" s="13" t="s">
        <v>5</v>
      </c>
      <c r="I1279" s="13" t="s">
        <v>231</v>
      </c>
      <c r="J1279" s="13"/>
      <c r="K1279" s="17">
        <f t="shared" ref="K1279:L1279" si="158">SUM(K1280)</f>
        <v>250</v>
      </c>
      <c r="L1279" s="17">
        <f t="shared" si="158"/>
        <v>250</v>
      </c>
      <c r="M1279" s="17">
        <f t="shared" si="152"/>
        <v>100</v>
      </c>
    </row>
    <row r="1280" spans="1:13" ht="33.6" customHeight="1" x14ac:dyDescent="0.2">
      <c r="A1280" s="85"/>
      <c r="B1280" s="33" t="s">
        <v>175</v>
      </c>
      <c r="C1280" s="26" t="s">
        <v>180</v>
      </c>
      <c r="D1280" s="13" t="s">
        <v>2</v>
      </c>
      <c r="E1280" s="13" t="s">
        <v>41</v>
      </c>
      <c r="F1280" s="13" t="s">
        <v>185</v>
      </c>
      <c r="G1280" s="13" t="s">
        <v>126</v>
      </c>
      <c r="H1280" s="13" t="s">
        <v>5</v>
      </c>
      <c r="I1280" s="13" t="s">
        <v>231</v>
      </c>
      <c r="J1280" s="13" t="s">
        <v>58</v>
      </c>
      <c r="K1280" s="17">
        <v>250</v>
      </c>
      <c r="L1280" s="17">
        <v>250</v>
      </c>
      <c r="M1280" s="17">
        <f t="shared" si="152"/>
        <v>100</v>
      </c>
    </row>
    <row r="1281" spans="1:13" ht="34.9" customHeight="1" x14ac:dyDescent="0.2">
      <c r="A1281" s="85"/>
      <c r="B1281" s="33" t="s">
        <v>315</v>
      </c>
      <c r="C1281" s="26" t="s">
        <v>180</v>
      </c>
      <c r="D1281" s="13" t="s">
        <v>2</v>
      </c>
      <c r="E1281" s="13" t="s">
        <v>41</v>
      </c>
      <c r="F1281" s="13" t="s">
        <v>185</v>
      </c>
      <c r="G1281" s="13" t="s">
        <v>126</v>
      </c>
      <c r="H1281" s="13" t="s">
        <v>6</v>
      </c>
      <c r="I1281" s="13"/>
      <c r="J1281" s="13"/>
      <c r="K1281" s="17">
        <f>SUM(K1282)</f>
        <v>390.8</v>
      </c>
      <c r="L1281" s="17">
        <f>SUM(L1282)</f>
        <v>374.2</v>
      </c>
      <c r="M1281" s="17">
        <f t="shared" si="152"/>
        <v>95.752302968270214</v>
      </c>
    </row>
    <row r="1282" spans="1:13" ht="49.9" customHeight="1" x14ac:dyDescent="0.2">
      <c r="A1282" s="85"/>
      <c r="B1282" s="33" t="s">
        <v>316</v>
      </c>
      <c r="C1282" s="26" t="s">
        <v>180</v>
      </c>
      <c r="D1282" s="13" t="s">
        <v>2</v>
      </c>
      <c r="E1282" s="13" t="s">
        <v>41</v>
      </c>
      <c r="F1282" s="13" t="s">
        <v>185</v>
      </c>
      <c r="G1282" s="13" t="s">
        <v>126</v>
      </c>
      <c r="H1282" s="13" t="s">
        <v>6</v>
      </c>
      <c r="I1282" s="13" t="s">
        <v>314</v>
      </c>
      <c r="J1282" s="13"/>
      <c r="K1282" s="17">
        <f>SUM(K1283)</f>
        <v>390.8</v>
      </c>
      <c r="L1282" s="17">
        <f>SUM(L1283)</f>
        <v>374.2</v>
      </c>
      <c r="M1282" s="17">
        <f t="shared" si="152"/>
        <v>95.752302968270214</v>
      </c>
    </row>
    <row r="1283" spans="1:13" ht="22.9" customHeight="1" x14ac:dyDescent="0.2">
      <c r="A1283" s="85"/>
      <c r="B1283" s="33" t="s">
        <v>60</v>
      </c>
      <c r="C1283" s="26" t="s">
        <v>180</v>
      </c>
      <c r="D1283" s="13" t="s">
        <v>2</v>
      </c>
      <c r="E1283" s="13" t="s">
        <v>41</v>
      </c>
      <c r="F1283" s="13" t="s">
        <v>185</v>
      </c>
      <c r="G1283" s="13" t="s">
        <v>126</v>
      </c>
      <c r="H1283" s="13" t="s">
        <v>6</v>
      </c>
      <c r="I1283" s="13" t="s">
        <v>314</v>
      </c>
      <c r="J1283" s="13" t="s">
        <v>61</v>
      </c>
      <c r="K1283" s="17">
        <v>390.8</v>
      </c>
      <c r="L1283" s="17">
        <v>374.2</v>
      </c>
      <c r="M1283" s="17">
        <f t="shared" si="152"/>
        <v>95.752302968270214</v>
      </c>
    </row>
    <row r="1284" spans="1:13" x14ac:dyDescent="0.2">
      <c r="A1284" s="85"/>
      <c r="B1284" s="68" t="s">
        <v>18</v>
      </c>
      <c r="C1284" s="26" t="s">
        <v>180</v>
      </c>
      <c r="D1284" s="13" t="s">
        <v>8</v>
      </c>
      <c r="E1284" s="13"/>
      <c r="F1284" s="13"/>
      <c r="G1284" s="13"/>
      <c r="H1284" s="13"/>
      <c r="I1284" s="13"/>
      <c r="J1284" s="13"/>
      <c r="K1284" s="17">
        <f t="shared" ref="K1284:L1288" si="159">SUM(K1285)</f>
        <v>25.1</v>
      </c>
      <c r="L1284" s="17">
        <f t="shared" si="159"/>
        <v>0</v>
      </c>
      <c r="M1284" s="17">
        <f t="shared" si="152"/>
        <v>0</v>
      </c>
    </row>
    <row r="1285" spans="1:13" ht="36" customHeight="1" x14ac:dyDescent="0.2">
      <c r="A1285" s="85"/>
      <c r="B1285" s="33" t="s">
        <v>457</v>
      </c>
      <c r="C1285" s="42">
        <v>947</v>
      </c>
      <c r="D1285" s="13" t="s">
        <v>8</v>
      </c>
      <c r="E1285" s="13" t="s">
        <v>7</v>
      </c>
      <c r="F1285" s="13"/>
      <c r="G1285" s="13"/>
      <c r="H1285" s="13"/>
      <c r="I1285" s="13"/>
      <c r="J1285" s="26"/>
      <c r="K1285" s="17">
        <f t="shared" si="159"/>
        <v>25.1</v>
      </c>
      <c r="L1285" s="17">
        <f t="shared" si="159"/>
        <v>0</v>
      </c>
      <c r="M1285" s="17">
        <f t="shared" si="152"/>
        <v>0</v>
      </c>
    </row>
    <row r="1286" spans="1:13" ht="47.25" x14ac:dyDescent="0.2">
      <c r="A1286" s="85"/>
      <c r="B1286" s="33" t="s">
        <v>306</v>
      </c>
      <c r="C1286" s="42">
        <v>947</v>
      </c>
      <c r="D1286" s="13" t="s">
        <v>8</v>
      </c>
      <c r="E1286" s="13" t="s">
        <v>7</v>
      </c>
      <c r="F1286" s="13" t="s">
        <v>185</v>
      </c>
      <c r="G1286" s="13"/>
      <c r="H1286" s="13"/>
      <c r="I1286" s="13"/>
      <c r="J1286" s="26"/>
      <c r="K1286" s="17">
        <f t="shared" si="159"/>
        <v>25.1</v>
      </c>
      <c r="L1286" s="17">
        <f t="shared" si="159"/>
        <v>0</v>
      </c>
      <c r="M1286" s="17">
        <f t="shared" si="152"/>
        <v>0</v>
      </c>
    </row>
    <row r="1287" spans="1:13" ht="48" customHeight="1" x14ac:dyDescent="0.2">
      <c r="A1287" s="85"/>
      <c r="B1287" s="33" t="s">
        <v>307</v>
      </c>
      <c r="C1287" s="42">
        <v>947</v>
      </c>
      <c r="D1287" s="13" t="s">
        <v>8</v>
      </c>
      <c r="E1287" s="13" t="s">
        <v>7</v>
      </c>
      <c r="F1287" s="13" t="s">
        <v>185</v>
      </c>
      <c r="G1287" s="13" t="s">
        <v>126</v>
      </c>
      <c r="H1287" s="13"/>
      <c r="I1287" s="13"/>
      <c r="J1287" s="26"/>
      <c r="K1287" s="17">
        <f t="shared" si="159"/>
        <v>25.1</v>
      </c>
      <c r="L1287" s="17">
        <f t="shared" si="159"/>
        <v>0</v>
      </c>
      <c r="M1287" s="17">
        <f t="shared" si="152"/>
        <v>0</v>
      </c>
    </row>
    <row r="1288" spans="1:13" ht="51" customHeight="1" x14ac:dyDescent="0.2">
      <c r="A1288" s="85"/>
      <c r="B1288" s="33" t="s">
        <v>186</v>
      </c>
      <c r="C1288" s="42">
        <v>947</v>
      </c>
      <c r="D1288" s="13" t="s">
        <v>8</v>
      </c>
      <c r="E1288" s="13" t="s">
        <v>7</v>
      </c>
      <c r="F1288" s="13" t="s">
        <v>185</v>
      </c>
      <c r="G1288" s="13" t="s">
        <v>126</v>
      </c>
      <c r="H1288" s="13" t="s">
        <v>2</v>
      </c>
      <c r="I1288" s="13"/>
      <c r="J1288" s="26"/>
      <c r="K1288" s="17">
        <f t="shared" si="159"/>
        <v>25.1</v>
      </c>
      <c r="L1288" s="17">
        <f t="shared" si="159"/>
        <v>0</v>
      </c>
      <c r="M1288" s="17">
        <f t="shared" si="152"/>
        <v>0</v>
      </c>
    </row>
    <row r="1289" spans="1:13" ht="31.15" customHeight="1" x14ac:dyDescent="0.2">
      <c r="A1289" s="85"/>
      <c r="B1289" s="33" t="s">
        <v>459</v>
      </c>
      <c r="C1289" s="42">
        <v>947</v>
      </c>
      <c r="D1289" s="13" t="s">
        <v>8</v>
      </c>
      <c r="E1289" s="13" t="s">
        <v>7</v>
      </c>
      <c r="F1289" s="13" t="s">
        <v>185</v>
      </c>
      <c r="G1289" s="13" t="s">
        <v>126</v>
      </c>
      <c r="H1289" s="13" t="s">
        <v>2</v>
      </c>
      <c r="I1289" s="13" t="s">
        <v>458</v>
      </c>
      <c r="J1289" s="26"/>
      <c r="K1289" s="17">
        <f>SUM(K1290)</f>
        <v>25.1</v>
      </c>
      <c r="L1289" s="17">
        <f>SUM(L1290)</f>
        <v>0</v>
      </c>
      <c r="M1289" s="17">
        <f t="shared" si="152"/>
        <v>0</v>
      </c>
    </row>
    <row r="1290" spans="1:13" ht="31.15" customHeight="1" x14ac:dyDescent="0.2">
      <c r="A1290" s="85"/>
      <c r="B1290" s="33" t="s">
        <v>175</v>
      </c>
      <c r="C1290" s="42">
        <v>947</v>
      </c>
      <c r="D1290" s="13" t="s">
        <v>8</v>
      </c>
      <c r="E1290" s="13" t="s">
        <v>7</v>
      </c>
      <c r="F1290" s="13" t="s">
        <v>185</v>
      </c>
      <c r="G1290" s="13" t="s">
        <v>126</v>
      </c>
      <c r="H1290" s="13" t="s">
        <v>2</v>
      </c>
      <c r="I1290" s="13" t="s">
        <v>458</v>
      </c>
      <c r="J1290" s="26" t="s">
        <v>58</v>
      </c>
      <c r="K1290" s="17">
        <v>25.1</v>
      </c>
      <c r="L1290" s="17">
        <v>0</v>
      </c>
      <c r="M1290" s="17">
        <f t="shared" si="152"/>
        <v>0</v>
      </c>
    </row>
    <row r="1291" spans="1:13" ht="52.9" customHeight="1" x14ac:dyDescent="0.2">
      <c r="A1291" s="92" t="s">
        <v>128</v>
      </c>
      <c r="B1291" s="68" t="s">
        <v>51</v>
      </c>
      <c r="C1291" s="26" t="s">
        <v>48</v>
      </c>
      <c r="D1291" s="13"/>
      <c r="E1291" s="13"/>
      <c r="F1291" s="13"/>
      <c r="G1291" s="13"/>
      <c r="H1291" s="13"/>
      <c r="I1291" s="13"/>
      <c r="J1291" s="13"/>
      <c r="K1291" s="17">
        <f>SUM(K1308+K1292)</f>
        <v>64574.299999999996</v>
      </c>
      <c r="L1291" s="17">
        <f>SUM(L1308+L1292)</f>
        <v>42591.700000000004</v>
      </c>
      <c r="M1291" s="17">
        <f t="shared" si="152"/>
        <v>65.957664272009154</v>
      </c>
    </row>
    <row r="1292" spans="1:13" ht="18" customHeight="1" x14ac:dyDescent="0.2">
      <c r="A1292" s="85"/>
      <c r="B1292" s="66" t="s">
        <v>18</v>
      </c>
      <c r="C1292" s="42">
        <v>953</v>
      </c>
      <c r="D1292" s="13" t="s">
        <v>8</v>
      </c>
      <c r="E1292" s="13"/>
      <c r="F1292" s="13"/>
      <c r="G1292" s="25"/>
      <c r="H1292" s="13"/>
      <c r="I1292" s="13"/>
      <c r="J1292" s="13"/>
      <c r="K1292" s="17">
        <f>SUM(K1293)</f>
        <v>153.10000000000002</v>
      </c>
      <c r="L1292" s="17">
        <f>SUM(L1293)</f>
        <v>43</v>
      </c>
      <c r="M1292" s="17">
        <f t="shared" si="152"/>
        <v>28.086218158066618</v>
      </c>
    </row>
    <row r="1293" spans="1:13" ht="18" customHeight="1" x14ac:dyDescent="0.2">
      <c r="A1293" s="85"/>
      <c r="B1293" s="66" t="s">
        <v>27</v>
      </c>
      <c r="C1293" s="42">
        <v>953</v>
      </c>
      <c r="D1293" s="13" t="s">
        <v>8</v>
      </c>
      <c r="E1293" s="13" t="s">
        <v>24</v>
      </c>
      <c r="F1293" s="13"/>
      <c r="G1293" s="25"/>
      <c r="H1293" s="13"/>
      <c r="I1293" s="13"/>
      <c r="J1293" s="13"/>
      <c r="K1293" s="17">
        <f t="shared" ref="K1293:L1293" si="160">K1294</f>
        <v>153.10000000000002</v>
      </c>
      <c r="L1293" s="17">
        <f t="shared" si="160"/>
        <v>43</v>
      </c>
      <c r="M1293" s="17">
        <f t="shared" si="152"/>
        <v>28.086218158066618</v>
      </c>
    </row>
    <row r="1294" spans="1:13" ht="33" customHeight="1" x14ac:dyDescent="0.2">
      <c r="A1294" s="85"/>
      <c r="B1294" s="50" t="s">
        <v>310</v>
      </c>
      <c r="C1294" s="42">
        <v>953</v>
      </c>
      <c r="D1294" s="13" t="s">
        <v>8</v>
      </c>
      <c r="E1294" s="13" t="s">
        <v>24</v>
      </c>
      <c r="F1294" s="13" t="s">
        <v>21</v>
      </c>
      <c r="G1294" s="13"/>
      <c r="H1294" s="13"/>
      <c r="I1294" s="13"/>
      <c r="J1294" s="13"/>
      <c r="K1294" s="17">
        <f>K1299+K1304+K1295</f>
        <v>153.10000000000002</v>
      </c>
      <c r="L1294" s="17">
        <f>L1299+L1304+L1295</f>
        <v>43</v>
      </c>
      <c r="M1294" s="17">
        <f t="shared" si="152"/>
        <v>28.086218158066618</v>
      </c>
    </row>
    <row r="1295" spans="1:13" x14ac:dyDescent="0.2">
      <c r="A1295" s="85"/>
      <c r="B1295" s="66" t="s">
        <v>574</v>
      </c>
      <c r="C1295" s="42">
        <v>953</v>
      </c>
      <c r="D1295" s="26" t="s">
        <v>8</v>
      </c>
      <c r="E1295" s="26" t="s">
        <v>24</v>
      </c>
      <c r="F1295" s="13" t="s">
        <v>21</v>
      </c>
      <c r="G1295" s="25">
        <v>1</v>
      </c>
      <c r="H1295" s="13"/>
      <c r="I1295" s="13"/>
      <c r="J1295" s="13"/>
      <c r="K1295" s="17">
        <f t="shared" ref="K1295:L1297" si="161">K1296</f>
        <v>6.3000000000000007</v>
      </c>
      <c r="L1295" s="17">
        <f t="shared" si="161"/>
        <v>0</v>
      </c>
      <c r="M1295" s="17">
        <f t="shared" si="152"/>
        <v>0</v>
      </c>
    </row>
    <row r="1296" spans="1:13" ht="49.9" customHeight="1" x14ac:dyDescent="0.2">
      <c r="A1296" s="85"/>
      <c r="B1296" s="66" t="s">
        <v>526</v>
      </c>
      <c r="C1296" s="42">
        <v>953</v>
      </c>
      <c r="D1296" s="26" t="s">
        <v>8</v>
      </c>
      <c r="E1296" s="26" t="s">
        <v>24</v>
      </c>
      <c r="F1296" s="13" t="s">
        <v>21</v>
      </c>
      <c r="G1296" s="25">
        <v>1</v>
      </c>
      <c r="H1296" s="13" t="s">
        <v>2</v>
      </c>
      <c r="I1296" s="13"/>
      <c r="J1296" s="13"/>
      <c r="K1296" s="17">
        <f t="shared" si="161"/>
        <v>6.3000000000000007</v>
      </c>
      <c r="L1296" s="17">
        <f t="shared" si="161"/>
        <v>0</v>
      </c>
      <c r="M1296" s="17">
        <f t="shared" si="152"/>
        <v>0</v>
      </c>
    </row>
    <row r="1297" spans="1:13" ht="63" x14ac:dyDescent="0.2">
      <c r="A1297" s="85"/>
      <c r="B1297" s="66" t="s">
        <v>575</v>
      </c>
      <c r="C1297" s="42">
        <v>953</v>
      </c>
      <c r="D1297" s="26" t="s">
        <v>8</v>
      </c>
      <c r="E1297" s="26" t="s">
        <v>24</v>
      </c>
      <c r="F1297" s="13" t="s">
        <v>21</v>
      </c>
      <c r="G1297" s="25">
        <v>1</v>
      </c>
      <c r="H1297" s="13" t="s">
        <v>2</v>
      </c>
      <c r="I1297" s="13" t="s">
        <v>527</v>
      </c>
      <c r="J1297" s="13"/>
      <c r="K1297" s="17">
        <f t="shared" si="161"/>
        <v>6.3000000000000007</v>
      </c>
      <c r="L1297" s="17">
        <f t="shared" si="161"/>
        <v>0</v>
      </c>
      <c r="M1297" s="17">
        <f t="shared" si="152"/>
        <v>0</v>
      </c>
    </row>
    <row r="1298" spans="1:13" ht="31.5" x14ac:dyDescent="0.2">
      <c r="A1298" s="85"/>
      <c r="B1298" s="33" t="s">
        <v>175</v>
      </c>
      <c r="C1298" s="42">
        <v>953</v>
      </c>
      <c r="D1298" s="26" t="s">
        <v>8</v>
      </c>
      <c r="E1298" s="26" t="s">
        <v>24</v>
      </c>
      <c r="F1298" s="13" t="s">
        <v>21</v>
      </c>
      <c r="G1298" s="25">
        <v>1</v>
      </c>
      <c r="H1298" s="13" t="s">
        <v>2</v>
      </c>
      <c r="I1298" s="13" t="s">
        <v>527</v>
      </c>
      <c r="J1298" s="13" t="s">
        <v>58</v>
      </c>
      <c r="K1298" s="17">
        <f>16-9.7</f>
        <v>6.3000000000000007</v>
      </c>
      <c r="L1298" s="17">
        <v>0</v>
      </c>
      <c r="M1298" s="17">
        <f t="shared" si="152"/>
        <v>0</v>
      </c>
    </row>
    <row r="1299" spans="1:13" x14ac:dyDescent="0.2">
      <c r="A1299" s="85"/>
      <c r="B1299" s="50" t="s">
        <v>311</v>
      </c>
      <c r="C1299" s="42">
        <v>953</v>
      </c>
      <c r="D1299" s="13" t="s">
        <v>8</v>
      </c>
      <c r="E1299" s="13" t="s">
        <v>24</v>
      </c>
      <c r="F1299" s="13" t="s">
        <v>21</v>
      </c>
      <c r="G1299" s="25">
        <v>2</v>
      </c>
      <c r="H1299" s="13"/>
      <c r="I1299" s="13"/>
      <c r="J1299" s="26"/>
      <c r="K1299" s="17">
        <f t="shared" ref="K1299:L1300" si="162">SUM(K1300)</f>
        <v>99.6</v>
      </c>
      <c r="L1299" s="17">
        <f t="shared" si="162"/>
        <v>0</v>
      </c>
      <c r="M1299" s="17">
        <f t="shared" si="152"/>
        <v>0</v>
      </c>
    </row>
    <row r="1300" spans="1:13" ht="15" customHeight="1" x14ac:dyDescent="0.2">
      <c r="A1300" s="85"/>
      <c r="B1300" s="50" t="s">
        <v>172</v>
      </c>
      <c r="C1300" s="42">
        <v>953</v>
      </c>
      <c r="D1300" s="13" t="s">
        <v>8</v>
      </c>
      <c r="E1300" s="13" t="s">
        <v>24</v>
      </c>
      <c r="F1300" s="13" t="s">
        <v>21</v>
      </c>
      <c r="G1300" s="25">
        <v>2</v>
      </c>
      <c r="H1300" s="13" t="s">
        <v>2</v>
      </c>
      <c r="I1300" s="13"/>
      <c r="J1300" s="26"/>
      <c r="K1300" s="17">
        <f t="shared" si="162"/>
        <v>99.6</v>
      </c>
      <c r="L1300" s="17">
        <f t="shared" si="162"/>
        <v>0</v>
      </c>
      <c r="M1300" s="17">
        <f t="shared" ref="M1300:M1338" si="163">L1300/K1300*100</f>
        <v>0</v>
      </c>
    </row>
    <row r="1301" spans="1:13" ht="110.45" customHeight="1" x14ac:dyDescent="0.2">
      <c r="A1301" s="85"/>
      <c r="B1301" s="71" t="s">
        <v>205</v>
      </c>
      <c r="C1301" s="42">
        <v>953</v>
      </c>
      <c r="D1301" s="13" t="s">
        <v>8</v>
      </c>
      <c r="E1301" s="13" t="s">
        <v>24</v>
      </c>
      <c r="F1301" s="13" t="s">
        <v>21</v>
      </c>
      <c r="G1301" s="25">
        <v>2</v>
      </c>
      <c r="H1301" s="13" t="s">
        <v>2</v>
      </c>
      <c r="I1301" s="13" t="s">
        <v>473</v>
      </c>
      <c r="J1301" s="26"/>
      <c r="K1301" s="17">
        <f t="shared" ref="K1301:L1301" si="164">SUM(K1302:K1303)</f>
        <v>99.6</v>
      </c>
      <c r="L1301" s="17">
        <f t="shared" si="164"/>
        <v>0</v>
      </c>
      <c r="M1301" s="17">
        <f t="shared" si="163"/>
        <v>0</v>
      </c>
    </row>
    <row r="1302" spans="1:13" ht="31.9" customHeight="1" x14ac:dyDescent="0.2">
      <c r="A1302" s="85"/>
      <c r="B1302" s="33" t="s">
        <v>175</v>
      </c>
      <c r="C1302" s="42">
        <v>953</v>
      </c>
      <c r="D1302" s="13" t="s">
        <v>8</v>
      </c>
      <c r="E1302" s="13" t="s">
        <v>24</v>
      </c>
      <c r="F1302" s="13" t="s">
        <v>21</v>
      </c>
      <c r="G1302" s="25">
        <v>2</v>
      </c>
      <c r="H1302" s="13" t="s">
        <v>2</v>
      </c>
      <c r="I1302" s="13" t="s">
        <v>473</v>
      </c>
      <c r="J1302" s="26" t="s">
        <v>58</v>
      </c>
      <c r="K1302" s="17">
        <f>34.8+64.8</f>
        <v>99.6</v>
      </c>
      <c r="L1302" s="17">
        <v>0</v>
      </c>
      <c r="M1302" s="17">
        <f t="shared" si="163"/>
        <v>0</v>
      </c>
    </row>
    <row r="1303" spans="1:13" ht="18" customHeight="1" x14ac:dyDescent="0.2">
      <c r="A1303" s="85"/>
      <c r="B1303" s="53" t="s">
        <v>69</v>
      </c>
      <c r="C1303" s="42">
        <v>953</v>
      </c>
      <c r="D1303" s="13" t="s">
        <v>8</v>
      </c>
      <c r="E1303" s="13" t="s">
        <v>24</v>
      </c>
      <c r="F1303" s="13" t="s">
        <v>21</v>
      </c>
      <c r="G1303" s="25">
        <v>2</v>
      </c>
      <c r="H1303" s="13" t="s">
        <v>2</v>
      </c>
      <c r="I1303" s="13" t="s">
        <v>473</v>
      </c>
      <c r="J1303" s="26" t="s">
        <v>70</v>
      </c>
      <c r="K1303" s="17">
        <v>0</v>
      </c>
      <c r="L1303" s="17">
        <v>0</v>
      </c>
      <c r="M1303" s="17"/>
    </row>
    <row r="1304" spans="1:13" ht="31.9" customHeight="1" x14ac:dyDescent="0.2">
      <c r="A1304" s="85"/>
      <c r="B1304" s="33" t="s">
        <v>215</v>
      </c>
      <c r="C1304" s="42">
        <v>953</v>
      </c>
      <c r="D1304" s="13" t="s">
        <v>8</v>
      </c>
      <c r="E1304" s="13" t="s">
        <v>24</v>
      </c>
      <c r="F1304" s="13" t="s">
        <v>21</v>
      </c>
      <c r="G1304" s="25">
        <v>3</v>
      </c>
      <c r="H1304" s="13"/>
      <c r="I1304" s="13"/>
      <c r="J1304" s="13"/>
      <c r="K1304" s="17">
        <f t="shared" ref="K1304:L1306" si="165">SUM(K1305)</f>
        <v>47.2</v>
      </c>
      <c r="L1304" s="17">
        <f t="shared" si="165"/>
        <v>43</v>
      </c>
      <c r="M1304" s="17">
        <f t="shared" si="163"/>
        <v>91.101694915254228</v>
      </c>
    </row>
    <row r="1305" spans="1:13" ht="49.9" customHeight="1" x14ac:dyDescent="0.2">
      <c r="A1305" s="85"/>
      <c r="B1305" s="33" t="s">
        <v>162</v>
      </c>
      <c r="C1305" s="42">
        <v>953</v>
      </c>
      <c r="D1305" s="13" t="s">
        <v>8</v>
      </c>
      <c r="E1305" s="13" t="s">
        <v>24</v>
      </c>
      <c r="F1305" s="13" t="s">
        <v>21</v>
      </c>
      <c r="G1305" s="25">
        <v>3</v>
      </c>
      <c r="H1305" s="13" t="s">
        <v>2</v>
      </c>
      <c r="I1305" s="13"/>
      <c r="J1305" s="13"/>
      <c r="K1305" s="17">
        <f t="shared" si="165"/>
        <v>47.2</v>
      </c>
      <c r="L1305" s="17">
        <f t="shared" si="165"/>
        <v>43</v>
      </c>
      <c r="M1305" s="17">
        <f t="shared" si="163"/>
        <v>91.101694915254228</v>
      </c>
    </row>
    <row r="1306" spans="1:13" ht="66" customHeight="1" x14ac:dyDescent="0.2">
      <c r="A1306" s="85"/>
      <c r="B1306" s="33" t="s">
        <v>576</v>
      </c>
      <c r="C1306" s="42">
        <v>953</v>
      </c>
      <c r="D1306" s="13" t="s">
        <v>8</v>
      </c>
      <c r="E1306" s="13" t="s">
        <v>24</v>
      </c>
      <c r="F1306" s="13" t="s">
        <v>21</v>
      </c>
      <c r="G1306" s="25">
        <v>3</v>
      </c>
      <c r="H1306" s="13" t="s">
        <v>2</v>
      </c>
      <c r="I1306" s="13" t="s">
        <v>357</v>
      </c>
      <c r="J1306" s="13"/>
      <c r="K1306" s="17">
        <f t="shared" si="165"/>
        <v>47.2</v>
      </c>
      <c r="L1306" s="17">
        <f t="shared" si="165"/>
        <v>43</v>
      </c>
      <c r="M1306" s="17">
        <f t="shared" si="163"/>
        <v>91.101694915254228</v>
      </c>
    </row>
    <row r="1307" spans="1:13" ht="36" customHeight="1" x14ac:dyDescent="0.2">
      <c r="A1307" s="85"/>
      <c r="B1307" s="33" t="s">
        <v>175</v>
      </c>
      <c r="C1307" s="42">
        <v>953</v>
      </c>
      <c r="D1307" s="13" t="s">
        <v>8</v>
      </c>
      <c r="E1307" s="13" t="s">
        <v>24</v>
      </c>
      <c r="F1307" s="13" t="s">
        <v>21</v>
      </c>
      <c r="G1307" s="25">
        <v>3</v>
      </c>
      <c r="H1307" s="13" t="s">
        <v>2</v>
      </c>
      <c r="I1307" s="13" t="s">
        <v>357</v>
      </c>
      <c r="J1307" s="13" t="s">
        <v>58</v>
      </c>
      <c r="K1307" s="17">
        <f>37.5+9.7</f>
        <v>47.2</v>
      </c>
      <c r="L1307" s="17">
        <v>43</v>
      </c>
      <c r="M1307" s="17">
        <f t="shared" si="163"/>
        <v>91.101694915254228</v>
      </c>
    </row>
    <row r="1308" spans="1:13" ht="18" customHeight="1" x14ac:dyDescent="0.2">
      <c r="A1308" s="85"/>
      <c r="B1308" s="33" t="s">
        <v>20</v>
      </c>
      <c r="C1308" s="42">
        <v>953</v>
      </c>
      <c r="D1308" s="13" t="s">
        <v>21</v>
      </c>
      <c r="E1308" s="26"/>
      <c r="F1308" s="26"/>
      <c r="G1308" s="42"/>
      <c r="H1308" s="26"/>
      <c r="I1308" s="26"/>
      <c r="J1308" s="26"/>
      <c r="K1308" s="17">
        <f>SUM(K1309+K1326)</f>
        <v>64421.2</v>
      </c>
      <c r="L1308" s="17">
        <f>SUM(L1309+L1326)</f>
        <v>42548.700000000004</v>
      </c>
      <c r="M1308" s="17">
        <f t="shared" si="163"/>
        <v>66.047667538015446</v>
      </c>
    </row>
    <row r="1309" spans="1:13" ht="22.15" customHeight="1" x14ac:dyDescent="0.2">
      <c r="A1309" s="85"/>
      <c r="B1309" s="33" t="s">
        <v>29</v>
      </c>
      <c r="C1309" s="42">
        <v>953</v>
      </c>
      <c r="D1309" s="26" t="s">
        <v>21</v>
      </c>
      <c r="E1309" s="26" t="s">
        <v>6</v>
      </c>
      <c r="F1309" s="26"/>
      <c r="G1309" s="42"/>
      <c r="H1309" s="26"/>
      <c r="I1309" s="26"/>
      <c r="J1309" s="26"/>
      <c r="K1309" s="17">
        <f>SUM(K1310)</f>
        <v>52981</v>
      </c>
      <c r="L1309" s="17">
        <f>SUM(L1310)</f>
        <v>35669.300000000003</v>
      </c>
      <c r="M1309" s="17">
        <f t="shared" si="163"/>
        <v>67.324701308016088</v>
      </c>
    </row>
    <row r="1310" spans="1:13" ht="47.25" x14ac:dyDescent="0.2">
      <c r="A1310" s="85"/>
      <c r="B1310" s="50" t="s">
        <v>310</v>
      </c>
      <c r="C1310" s="42">
        <v>953</v>
      </c>
      <c r="D1310" s="26" t="s">
        <v>21</v>
      </c>
      <c r="E1310" s="26" t="s">
        <v>6</v>
      </c>
      <c r="F1310" s="26" t="s">
        <v>21</v>
      </c>
      <c r="G1310" s="42"/>
      <c r="H1310" s="26"/>
      <c r="I1310" s="26"/>
      <c r="J1310" s="26"/>
      <c r="K1310" s="17">
        <f t="shared" ref="K1310:L1310" si="166">SUM(K1311)</f>
        <v>52981</v>
      </c>
      <c r="L1310" s="17">
        <f t="shared" si="166"/>
        <v>35669.300000000003</v>
      </c>
      <c r="M1310" s="17">
        <f t="shared" si="163"/>
        <v>67.324701308016088</v>
      </c>
    </row>
    <row r="1311" spans="1:13" ht="21" customHeight="1" x14ac:dyDescent="0.2">
      <c r="A1311" s="85"/>
      <c r="B1311" s="50" t="s">
        <v>311</v>
      </c>
      <c r="C1311" s="42">
        <v>953</v>
      </c>
      <c r="D1311" s="26" t="s">
        <v>21</v>
      </c>
      <c r="E1311" s="26" t="s">
        <v>6</v>
      </c>
      <c r="F1311" s="26" t="s">
        <v>21</v>
      </c>
      <c r="G1311" s="42">
        <v>2</v>
      </c>
      <c r="H1311" s="26"/>
      <c r="I1311" s="26"/>
      <c r="J1311" s="26"/>
      <c r="K1311" s="17">
        <f>SUM(K1312)</f>
        <v>52981</v>
      </c>
      <c r="L1311" s="17">
        <f>SUM(L1312)</f>
        <v>35669.300000000003</v>
      </c>
      <c r="M1311" s="17">
        <f t="shared" si="163"/>
        <v>67.324701308016088</v>
      </c>
    </row>
    <row r="1312" spans="1:13" ht="16.899999999999999" customHeight="1" x14ac:dyDescent="0.2">
      <c r="A1312" s="85"/>
      <c r="B1312" s="64" t="s">
        <v>172</v>
      </c>
      <c r="C1312" s="42">
        <v>953</v>
      </c>
      <c r="D1312" s="26" t="s">
        <v>21</v>
      </c>
      <c r="E1312" s="26" t="s">
        <v>6</v>
      </c>
      <c r="F1312" s="26" t="s">
        <v>21</v>
      </c>
      <c r="G1312" s="42">
        <v>2</v>
      </c>
      <c r="H1312" s="26" t="s">
        <v>2</v>
      </c>
      <c r="I1312" s="26"/>
      <c r="J1312" s="26"/>
      <c r="K1312" s="17">
        <f>SUM(K1313+K1316+K1319+K1322+K1324)</f>
        <v>52981</v>
      </c>
      <c r="L1312" s="17">
        <f>SUM(L1313+L1316+L1319+L1322+L1324)</f>
        <v>35669.300000000003</v>
      </c>
      <c r="M1312" s="17">
        <f t="shared" si="163"/>
        <v>67.324701308016088</v>
      </c>
    </row>
    <row r="1313" spans="1:13" ht="99.6" customHeight="1" x14ac:dyDescent="0.2">
      <c r="A1313" s="85"/>
      <c r="B1313" s="64" t="s">
        <v>363</v>
      </c>
      <c r="C1313" s="42">
        <v>953</v>
      </c>
      <c r="D1313" s="26" t="s">
        <v>21</v>
      </c>
      <c r="E1313" s="26" t="s">
        <v>6</v>
      </c>
      <c r="F1313" s="26" t="s">
        <v>21</v>
      </c>
      <c r="G1313" s="42">
        <v>2</v>
      </c>
      <c r="H1313" s="26" t="s">
        <v>2</v>
      </c>
      <c r="I1313" s="26" t="s">
        <v>474</v>
      </c>
      <c r="J1313" s="26"/>
      <c r="K1313" s="17">
        <f>SUM(K1314:K1315)</f>
        <v>37028.199999999997</v>
      </c>
      <c r="L1313" s="17">
        <f>SUM(L1314:L1315)</f>
        <v>25624.9</v>
      </c>
      <c r="M1313" s="17">
        <f t="shared" si="163"/>
        <v>69.203742012844273</v>
      </c>
    </row>
    <row r="1314" spans="1:13" ht="32.450000000000003" customHeight="1" x14ac:dyDescent="0.2">
      <c r="A1314" s="85"/>
      <c r="B1314" s="33" t="s">
        <v>175</v>
      </c>
      <c r="C1314" s="42">
        <v>953</v>
      </c>
      <c r="D1314" s="26" t="s">
        <v>21</v>
      </c>
      <c r="E1314" s="26" t="s">
        <v>6</v>
      </c>
      <c r="F1314" s="26" t="s">
        <v>21</v>
      </c>
      <c r="G1314" s="42">
        <v>2</v>
      </c>
      <c r="H1314" s="26" t="s">
        <v>2</v>
      </c>
      <c r="I1314" s="26" t="s">
        <v>474</v>
      </c>
      <c r="J1314" s="26" t="s">
        <v>58</v>
      </c>
      <c r="K1314" s="17">
        <v>540</v>
      </c>
      <c r="L1314" s="17">
        <v>256.39999999999998</v>
      </c>
      <c r="M1314" s="17">
        <f t="shared" si="163"/>
        <v>47.481481481481474</v>
      </c>
    </row>
    <row r="1315" spans="1:13" ht="16.899999999999999" customHeight="1" x14ac:dyDescent="0.2">
      <c r="A1315" s="85"/>
      <c r="B1315" s="33" t="s">
        <v>69</v>
      </c>
      <c r="C1315" s="42">
        <v>953</v>
      </c>
      <c r="D1315" s="26" t="s">
        <v>21</v>
      </c>
      <c r="E1315" s="26" t="s">
        <v>6</v>
      </c>
      <c r="F1315" s="26" t="s">
        <v>21</v>
      </c>
      <c r="G1315" s="42">
        <v>2</v>
      </c>
      <c r="H1315" s="26" t="s">
        <v>2</v>
      </c>
      <c r="I1315" s="26" t="s">
        <v>474</v>
      </c>
      <c r="J1315" s="26" t="s">
        <v>70</v>
      </c>
      <c r="K1315" s="17">
        <f>35941+547.2</f>
        <v>36488.199999999997</v>
      </c>
      <c r="L1315" s="17">
        <v>25368.5</v>
      </c>
      <c r="M1315" s="17">
        <f t="shared" si="163"/>
        <v>69.525216371320056</v>
      </c>
    </row>
    <row r="1316" spans="1:13" ht="64.900000000000006" customHeight="1" x14ac:dyDescent="0.2">
      <c r="A1316" s="85"/>
      <c r="B1316" s="71" t="s">
        <v>504</v>
      </c>
      <c r="C1316" s="42">
        <v>953</v>
      </c>
      <c r="D1316" s="26" t="s">
        <v>21</v>
      </c>
      <c r="E1316" s="26" t="s">
        <v>6</v>
      </c>
      <c r="F1316" s="13" t="s">
        <v>21</v>
      </c>
      <c r="G1316" s="13" t="s">
        <v>166</v>
      </c>
      <c r="H1316" s="13" t="s">
        <v>2</v>
      </c>
      <c r="I1316" s="13" t="s">
        <v>503</v>
      </c>
      <c r="J1316" s="13"/>
      <c r="K1316" s="17">
        <f>SUM(K1317:K1318)</f>
        <v>179.70000000000002</v>
      </c>
      <c r="L1316" s="17">
        <f>SUM(L1317:L1318)</f>
        <v>88</v>
      </c>
      <c r="M1316" s="17">
        <f t="shared" si="163"/>
        <v>48.970506399554807</v>
      </c>
    </row>
    <row r="1317" spans="1:13" ht="31.5" x14ac:dyDescent="0.2">
      <c r="A1317" s="85"/>
      <c r="B1317" s="33" t="s">
        <v>175</v>
      </c>
      <c r="C1317" s="42">
        <v>953</v>
      </c>
      <c r="D1317" s="26" t="s">
        <v>21</v>
      </c>
      <c r="E1317" s="26" t="s">
        <v>6</v>
      </c>
      <c r="F1317" s="13" t="s">
        <v>21</v>
      </c>
      <c r="G1317" s="13" t="s">
        <v>166</v>
      </c>
      <c r="H1317" s="13" t="s">
        <v>2</v>
      </c>
      <c r="I1317" s="13" t="s">
        <v>503</v>
      </c>
      <c r="J1317" s="13" t="s">
        <v>58</v>
      </c>
      <c r="K1317" s="17">
        <v>1.8</v>
      </c>
      <c r="L1317" s="17">
        <v>0.8</v>
      </c>
      <c r="M1317" s="17">
        <f t="shared" si="163"/>
        <v>44.44444444444445</v>
      </c>
    </row>
    <row r="1318" spans="1:13" x14ac:dyDescent="0.2">
      <c r="A1318" s="85"/>
      <c r="B1318" s="33" t="s">
        <v>69</v>
      </c>
      <c r="C1318" s="42">
        <v>953</v>
      </c>
      <c r="D1318" s="26" t="s">
        <v>21</v>
      </c>
      <c r="E1318" s="26" t="s">
        <v>6</v>
      </c>
      <c r="F1318" s="13" t="s">
        <v>21</v>
      </c>
      <c r="G1318" s="13" t="s">
        <v>166</v>
      </c>
      <c r="H1318" s="13" t="s">
        <v>2</v>
      </c>
      <c r="I1318" s="13" t="s">
        <v>503</v>
      </c>
      <c r="J1318" s="13" t="s">
        <v>70</v>
      </c>
      <c r="K1318" s="17">
        <v>177.9</v>
      </c>
      <c r="L1318" s="17">
        <v>87.2</v>
      </c>
      <c r="M1318" s="17">
        <f t="shared" si="163"/>
        <v>49.016301292861158</v>
      </c>
    </row>
    <row r="1319" spans="1:13" ht="63" x14ac:dyDescent="0.2">
      <c r="A1319" s="85"/>
      <c r="B1319" s="53" t="s">
        <v>364</v>
      </c>
      <c r="C1319" s="42">
        <v>953</v>
      </c>
      <c r="D1319" s="26" t="s">
        <v>21</v>
      </c>
      <c r="E1319" s="26" t="s">
        <v>6</v>
      </c>
      <c r="F1319" s="26" t="s">
        <v>21</v>
      </c>
      <c r="G1319" s="42">
        <v>2</v>
      </c>
      <c r="H1319" s="26" t="s">
        <v>2</v>
      </c>
      <c r="I1319" s="26" t="s">
        <v>475</v>
      </c>
      <c r="J1319" s="26"/>
      <c r="K1319" s="17">
        <f>SUM(K1320:K1321)</f>
        <v>15599.8</v>
      </c>
      <c r="L1319" s="17">
        <f>SUM(L1320:L1321)</f>
        <v>9895.7000000000007</v>
      </c>
      <c r="M1319" s="17">
        <f t="shared" si="163"/>
        <v>63.434787625482379</v>
      </c>
    </row>
    <row r="1320" spans="1:13" ht="31.5" x14ac:dyDescent="0.2">
      <c r="A1320" s="85"/>
      <c r="B1320" s="33" t="s">
        <v>175</v>
      </c>
      <c r="C1320" s="42">
        <v>953</v>
      </c>
      <c r="D1320" s="26" t="s">
        <v>21</v>
      </c>
      <c r="E1320" s="26" t="s">
        <v>6</v>
      </c>
      <c r="F1320" s="26" t="s">
        <v>21</v>
      </c>
      <c r="G1320" s="42">
        <v>2</v>
      </c>
      <c r="H1320" s="26" t="s">
        <v>2</v>
      </c>
      <c r="I1320" s="26" t="s">
        <v>475</v>
      </c>
      <c r="J1320" s="26" t="s">
        <v>58</v>
      </c>
      <c r="K1320" s="17">
        <v>235.8</v>
      </c>
      <c r="L1320" s="17">
        <v>0</v>
      </c>
      <c r="M1320" s="17">
        <f t="shared" si="163"/>
        <v>0</v>
      </c>
    </row>
    <row r="1321" spans="1:13" x14ac:dyDescent="0.2">
      <c r="A1321" s="85"/>
      <c r="B1321" s="33" t="s">
        <v>69</v>
      </c>
      <c r="C1321" s="42">
        <v>953</v>
      </c>
      <c r="D1321" s="26" t="s">
        <v>21</v>
      </c>
      <c r="E1321" s="26" t="s">
        <v>6</v>
      </c>
      <c r="F1321" s="26" t="s">
        <v>21</v>
      </c>
      <c r="G1321" s="42">
        <v>2</v>
      </c>
      <c r="H1321" s="26" t="s">
        <v>2</v>
      </c>
      <c r="I1321" s="26" t="s">
        <v>475</v>
      </c>
      <c r="J1321" s="26" t="s">
        <v>70</v>
      </c>
      <c r="K1321" s="17">
        <f>15717-353</f>
        <v>15364</v>
      </c>
      <c r="L1321" s="17">
        <v>9895.7000000000007</v>
      </c>
      <c r="M1321" s="17">
        <f t="shared" si="163"/>
        <v>64.4083571986462</v>
      </c>
    </row>
    <row r="1322" spans="1:13" ht="81" customHeight="1" x14ac:dyDescent="0.2">
      <c r="A1322" s="85"/>
      <c r="B1322" s="71" t="s">
        <v>506</v>
      </c>
      <c r="C1322" s="42">
        <v>953</v>
      </c>
      <c r="D1322" s="26" t="s">
        <v>21</v>
      </c>
      <c r="E1322" s="26" t="s">
        <v>6</v>
      </c>
      <c r="F1322" s="13" t="s">
        <v>21</v>
      </c>
      <c r="G1322" s="13" t="s">
        <v>166</v>
      </c>
      <c r="H1322" s="13" t="s">
        <v>2</v>
      </c>
      <c r="I1322" s="13" t="s">
        <v>505</v>
      </c>
      <c r="J1322" s="13"/>
      <c r="K1322" s="17">
        <f>K1323</f>
        <v>173.3</v>
      </c>
      <c r="L1322" s="17">
        <f>L1323</f>
        <v>60.7</v>
      </c>
      <c r="M1322" s="17">
        <f t="shared" si="163"/>
        <v>35.025966532025386</v>
      </c>
    </row>
    <row r="1323" spans="1:13" ht="17.45" customHeight="1" x14ac:dyDescent="0.2">
      <c r="A1323" s="85"/>
      <c r="B1323" s="33" t="s">
        <v>69</v>
      </c>
      <c r="C1323" s="42">
        <v>953</v>
      </c>
      <c r="D1323" s="26" t="s">
        <v>21</v>
      </c>
      <c r="E1323" s="26" t="s">
        <v>6</v>
      </c>
      <c r="F1323" s="13" t="s">
        <v>21</v>
      </c>
      <c r="G1323" s="13" t="s">
        <v>166</v>
      </c>
      <c r="H1323" s="13" t="s">
        <v>2</v>
      </c>
      <c r="I1323" s="13" t="s">
        <v>505</v>
      </c>
      <c r="J1323" s="13" t="s">
        <v>70</v>
      </c>
      <c r="K1323" s="17">
        <v>173.3</v>
      </c>
      <c r="L1323" s="17">
        <v>60.7</v>
      </c>
      <c r="M1323" s="17">
        <f t="shared" si="163"/>
        <v>35.025966532025386</v>
      </c>
    </row>
    <row r="1324" spans="1:13" ht="126" x14ac:dyDescent="0.2">
      <c r="A1324" s="85"/>
      <c r="B1324" s="71" t="s">
        <v>508</v>
      </c>
      <c r="C1324" s="42">
        <v>953</v>
      </c>
      <c r="D1324" s="26" t="s">
        <v>21</v>
      </c>
      <c r="E1324" s="26" t="s">
        <v>6</v>
      </c>
      <c r="F1324" s="13" t="s">
        <v>21</v>
      </c>
      <c r="G1324" s="13" t="s">
        <v>166</v>
      </c>
      <c r="H1324" s="13" t="s">
        <v>2</v>
      </c>
      <c r="I1324" s="13" t="s">
        <v>507</v>
      </c>
      <c r="J1324" s="13"/>
      <c r="K1324" s="17">
        <f>K1325</f>
        <v>0</v>
      </c>
      <c r="L1324" s="17">
        <f>L1325</f>
        <v>0</v>
      </c>
      <c r="M1324" s="17"/>
    </row>
    <row r="1325" spans="1:13" x14ac:dyDescent="0.2">
      <c r="A1325" s="85"/>
      <c r="B1325" s="33" t="s">
        <v>69</v>
      </c>
      <c r="C1325" s="42">
        <v>953</v>
      </c>
      <c r="D1325" s="26" t="s">
        <v>21</v>
      </c>
      <c r="E1325" s="26" t="s">
        <v>6</v>
      </c>
      <c r="F1325" s="13" t="s">
        <v>21</v>
      </c>
      <c r="G1325" s="13" t="s">
        <v>166</v>
      </c>
      <c r="H1325" s="13" t="s">
        <v>2</v>
      </c>
      <c r="I1325" s="13" t="s">
        <v>507</v>
      </c>
      <c r="J1325" s="13" t="s">
        <v>70</v>
      </c>
      <c r="K1325" s="17">
        <v>0</v>
      </c>
      <c r="L1325" s="17">
        <v>0</v>
      </c>
      <c r="M1325" s="17"/>
    </row>
    <row r="1326" spans="1:13" ht="15.75" customHeight="1" x14ac:dyDescent="0.2">
      <c r="A1326" s="85"/>
      <c r="B1326" s="33" t="s">
        <v>80</v>
      </c>
      <c r="C1326" s="42">
        <v>953</v>
      </c>
      <c r="D1326" s="26" t="s">
        <v>21</v>
      </c>
      <c r="E1326" s="26" t="s">
        <v>30</v>
      </c>
      <c r="F1326" s="26"/>
      <c r="G1326" s="42"/>
      <c r="H1326" s="26"/>
      <c r="I1326" s="26"/>
      <c r="J1326" s="26"/>
      <c r="K1326" s="17">
        <f t="shared" ref="K1326:L1328" si="167">SUM(K1327)</f>
        <v>11440.2</v>
      </c>
      <c r="L1326" s="17">
        <f t="shared" si="167"/>
        <v>6879.4000000000005</v>
      </c>
      <c r="M1326" s="17">
        <f t="shared" si="163"/>
        <v>60.133564098529746</v>
      </c>
    </row>
    <row r="1327" spans="1:13" ht="47.25" x14ac:dyDescent="0.2">
      <c r="A1327" s="85"/>
      <c r="B1327" s="33" t="s">
        <v>310</v>
      </c>
      <c r="C1327" s="42">
        <v>953</v>
      </c>
      <c r="D1327" s="26" t="s">
        <v>21</v>
      </c>
      <c r="E1327" s="26" t="s">
        <v>30</v>
      </c>
      <c r="F1327" s="26" t="s">
        <v>21</v>
      </c>
      <c r="G1327" s="42"/>
      <c r="H1327" s="26"/>
      <c r="I1327" s="26"/>
      <c r="J1327" s="26"/>
      <c r="K1327" s="17">
        <f t="shared" si="167"/>
        <v>11440.2</v>
      </c>
      <c r="L1327" s="17">
        <f t="shared" si="167"/>
        <v>6879.4000000000005</v>
      </c>
      <c r="M1327" s="17">
        <f t="shared" si="163"/>
        <v>60.133564098529746</v>
      </c>
    </row>
    <row r="1328" spans="1:13" ht="22.15" customHeight="1" x14ac:dyDescent="0.2">
      <c r="A1328" s="85"/>
      <c r="B1328" s="33" t="s">
        <v>311</v>
      </c>
      <c r="C1328" s="42">
        <v>953</v>
      </c>
      <c r="D1328" s="26" t="s">
        <v>21</v>
      </c>
      <c r="E1328" s="26" t="s">
        <v>30</v>
      </c>
      <c r="F1328" s="26" t="s">
        <v>21</v>
      </c>
      <c r="G1328" s="42">
        <v>2</v>
      </c>
      <c r="H1328" s="26"/>
      <c r="I1328" s="26"/>
      <c r="J1328" s="26"/>
      <c r="K1328" s="17">
        <f t="shared" si="167"/>
        <v>11440.2</v>
      </c>
      <c r="L1328" s="17">
        <f t="shared" si="167"/>
        <v>6879.4000000000005</v>
      </c>
      <c r="M1328" s="17">
        <f t="shared" si="163"/>
        <v>60.133564098529746</v>
      </c>
    </row>
    <row r="1329" spans="1:15" ht="22.9" customHeight="1" x14ac:dyDescent="0.2">
      <c r="A1329" s="85"/>
      <c r="B1329" s="33" t="s">
        <v>172</v>
      </c>
      <c r="C1329" s="42">
        <v>953</v>
      </c>
      <c r="D1329" s="26" t="s">
        <v>21</v>
      </c>
      <c r="E1329" s="26" t="s">
        <v>30</v>
      </c>
      <c r="F1329" s="26" t="s">
        <v>21</v>
      </c>
      <c r="G1329" s="42">
        <v>2</v>
      </c>
      <c r="H1329" s="26" t="s">
        <v>2</v>
      </c>
      <c r="I1329" s="26"/>
      <c r="J1329" s="26"/>
      <c r="K1329" s="17">
        <f>SUM(K1336+K1333+K1330)</f>
        <v>11440.2</v>
      </c>
      <c r="L1329" s="17">
        <f>SUM(L1336+L1333+L1330)</f>
        <v>6879.4000000000005</v>
      </c>
      <c r="M1329" s="17">
        <f t="shared" si="163"/>
        <v>60.133564098529746</v>
      </c>
    </row>
    <row r="1330" spans="1:15" ht="174.6" customHeight="1" x14ac:dyDescent="0.2">
      <c r="A1330" s="85"/>
      <c r="B1330" s="34" t="s">
        <v>366</v>
      </c>
      <c r="C1330" s="42">
        <v>953</v>
      </c>
      <c r="D1330" s="26" t="s">
        <v>21</v>
      </c>
      <c r="E1330" s="26" t="s">
        <v>30</v>
      </c>
      <c r="F1330" s="26" t="s">
        <v>21</v>
      </c>
      <c r="G1330" s="42">
        <v>2</v>
      </c>
      <c r="H1330" s="26" t="s">
        <v>2</v>
      </c>
      <c r="I1330" s="26" t="s">
        <v>479</v>
      </c>
      <c r="J1330" s="26"/>
      <c r="K1330" s="17">
        <f>SUM(K1331:K1332)</f>
        <v>992.6</v>
      </c>
      <c r="L1330" s="17">
        <f>SUM(L1331:L1332)</f>
        <v>168.5</v>
      </c>
      <c r="M1330" s="17">
        <f t="shared" si="163"/>
        <v>16.97561958492847</v>
      </c>
    </row>
    <row r="1331" spans="1:15" ht="46.5" customHeight="1" x14ac:dyDescent="0.2">
      <c r="A1331" s="85"/>
      <c r="B1331" s="33" t="s">
        <v>174</v>
      </c>
      <c r="C1331" s="42">
        <v>953</v>
      </c>
      <c r="D1331" s="26" t="s">
        <v>21</v>
      </c>
      <c r="E1331" s="26" t="s">
        <v>30</v>
      </c>
      <c r="F1331" s="26" t="s">
        <v>21</v>
      </c>
      <c r="G1331" s="42">
        <v>2</v>
      </c>
      <c r="H1331" s="26" t="s">
        <v>2</v>
      </c>
      <c r="I1331" s="26" t="s">
        <v>479</v>
      </c>
      <c r="J1331" s="13" t="s">
        <v>56</v>
      </c>
      <c r="K1331" s="17">
        <v>904.6</v>
      </c>
      <c r="L1331" s="17">
        <v>154.6</v>
      </c>
      <c r="M1331" s="17">
        <f t="shared" si="163"/>
        <v>17.090426707937208</v>
      </c>
    </row>
    <row r="1332" spans="1:15" ht="34.9" customHeight="1" x14ac:dyDescent="0.2">
      <c r="A1332" s="85"/>
      <c r="B1332" s="33" t="s">
        <v>175</v>
      </c>
      <c r="C1332" s="42">
        <v>953</v>
      </c>
      <c r="D1332" s="26" t="s">
        <v>21</v>
      </c>
      <c r="E1332" s="26" t="s">
        <v>30</v>
      </c>
      <c r="F1332" s="26" t="s">
        <v>21</v>
      </c>
      <c r="G1332" s="42">
        <v>2</v>
      </c>
      <c r="H1332" s="26" t="s">
        <v>2</v>
      </c>
      <c r="I1332" s="26" t="s">
        <v>479</v>
      </c>
      <c r="J1332" s="13" t="s">
        <v>58</v>
      </c>
      <c r="K1332" s="17">
        <v>88</v>
      </c>
      <c r="L1332" s="17">
        <v>13.9</v>
      </c>
      <c r="M1332" s="17">
        <f t="shared" si="163"/>
        <v>15.795454545454547</v>
      </c>
    </row>
    <row r="1333" spans="1:15" ht="50.45" customHeight="1" x14ac:dyDescent="0.2">
      <c r="A1333" s="85"/>
      <c r="B1333" s="54" t="s">
        <v>478</v>
      </c>
      <c r="C1333" s="42">
        <v>953</v>
      </c>
      <c r="D1333" s="26" t="s">
        <v>21</v>
      </c>
      <c r="E1333" s="26" t="s">
        <v>30</v>
      </c>
      <c r="F1333" s="26" t="s">
        <v>21</v>
      </c>
      <c r="G1333" s="42">
        <v>2</v>
      </c>
      <c r="H1333" s="26" t="s">
        <v>2</v>
      </c>
      <c r="I1333" s="26" t="s">
        <v>477</v>
      </c>
      <c r="J1333" s="26"/>
      <c r="K1333" s="17">
        <f>SUM(K1334:K1335)</f>
        <v>730</v>
      </c>
      <c r="L1333" s="17">
        <f>SUM(L1334:L1335)</f>
        <v>497</v>
      </c>
      <c r="M1333" s="17">
        <f t="shared" si="163"/>
        <v>68.082191780821915</v>
      </c>
      <c r="N1333" s="45"/>
      <c r="O1333" s="45"/>
    </row>
    <row r="1334" spans="1:15" ht="78.599999999999994" customHeight="1" x14ac:dyDescent="0.2">
      <c r="A1334" s="85"/>
      <c r="B1334" s="33" t="s">
        <v>174</v>
      </c>
      <c r="C1334" s="42">
        <v>953</v>
      </c>
      <c r="D1334" s="26" t="s">
        <v>21</v>
      </c>
      <c r="E1334" s="26" t="s">
        <v>30</v>
      </c>
      <c r="F1334" s="26" t="s">
        <v>21</v>
      </c>
      <c r="G1334" s="42">
        <v>2</v>
      </c>
      <c r="H1334" s="26" t="s">
        <v>2</v>
      </c>
      <c r="I1334" s="26" t="s">
        <v>477</v>
      </c>
      <c r="J1334" s="13" t="s">
        <v>56</v>
      </c>
      <c r="K1334" s="17">
        <v>636</v>
      </c>
      <c r="L1334" s="17">
        <v>485.5</v>
      </c>
      <c r="M1334" s="17">
        <f t="shared" si="163"/>
        <v>76.336477987421375</v>
      </c>
    </row>
    <row r="1335" spans="1:15" ht="37.15" customHeight="1" x14ac:dyDescent="0.2">
      <c r="A1335" s="85"/>
      <c r="B1335" s="33" t="s">
        <v>175</v>
      </c>
      <c r="C1335" s="42">
        <v>953</v>
      </c>
      <c r="D1335" s="26" t="s">
        <v>21</v>
      </c>
      <c r="E1335" s="26" t="s">
        <v>30</v>
      </c>
      <c r="F1335" s="26" t="s">
        <v>21</v>
      </c>
      <c r="G1335" s="42">
        <v>2</v>
      </c>
      <c r="H1335" s="26" t="s">
        <v>2</v>
      </c>
      <c r="I1335" s="26" t="s">
        <v>477</v>
      </c>
      <c r="J1335" s="13" t="s">
        <v>58</v>
      </c>
      <c r="K1335" s="17">
        <v>94</v>
      </c>
      <c r="L1335" s="17">
        <v>11.5</v>
      </c>
      <c r="M1335" s="17">
        <f t="shared" si="163"/>
        <v>12.23404255319149</v>
      </c>
    </row>
    <row r="1336" spans="1:15" ht="49.15" customHeight="1" x14ac:dyDescent="0.2">
      <c r="A1336" s="85"/>
      <c r="B1336" s="33" t="s">
        <v>365</v>
      </c>
      <c r="C1336" s="42">
        <v>953</v>
      </c>
      <c r="D1336" s="26" t="s">
        <v>21</v>
      </c>
      <c r="E1336" s="26" t="s">
        <v>30</v>
      </c>
      <c r="F1336" s="26" t="s">
        <v>21</v>
      </c>
      <c r="G1336" s="42">
        <v>2</v>
      </c>
      <c r="H1336" s="26" t="s">
        <v>2</v>
      </c>
      <c r="I1336" s="26" t="s">
        <v>476</v>
      </c>
      <c r="J1336" s="26"/>
      <c r="K1336" s="17">
        <f>SUM(K1337:K1339)</f>
        <v>9717.6</v>
      </c>
      <c r="L1336" s="17">
        <f>SUM(L1337:L1339)</f>
        <v>6213.9000000000005</v>
      </c>
      <c r="M1336" s="17">
        <f t="shared" si="163"/>
        <v>63.944801185477893</v>
      </c>
    </row>
    <row r="1337" spans="1:15" ht="82.15" customHeight="1" x14ac:dyDescent="0.2">
      <c r="A1337" s="85"/>
      <c r="B1337" s="33" t="s">
        <v>174</v>
      </c>
      <c r="C1337" s="42">
        <v>953</v>
      </c>
      <c r="D1337" s="26" t="s">
        <v>21</v>
      </c>
      <c r="E1337" s="26" t="s">
        <v>30</v>
      </c>
      <c r="F1337" s="26" t="s">
        <v>21</v>
      </c>
      <c r="G1337" s="42">
        <v>2</v>
      </c>
      <c r="H1337" s="26" t="s">
        <v>2</v>
      </c>
      <c r="I1337" s="26" t="s">
        <v>476</v>
      </c>
      <c r="J1337" s="13" t="s">
        <v>56</v>
      </c>
      <c r="K1337" s="17">
        <v>8992.6</v>
      </c>
      <c r="L1337" s="17">
        <v>5962.8</v>
      </c>
      <c r="M1337" s="17">
        <f t="shared" si="163"/>
        <v>66.307853123679479</v>
      </c>
    </row>
    <row r="1338" spans="1:15" ht="31.9" customHeight="1" x14ac:dyDescent="0.2">
      <c r="A1338" s="85"/>
      <c r="B1338" s="33" t="s">
        <v>175</v>
      </c>
      <c r="C1338" s="42">
        <v>953</v>
      </c>
      <c r="D1338" s="26" t="s">
        <v>21</v>
      </c>
      <c r="E1338" s="26" t="s">
        <v>30</v>
      </c>
      <c r="F1338" s="26" t="s">
        <v>21</v>
      </c>
      <c r="G1338" s="42">
        <v>2</v>
      </c>
      <c r="H1338" s="26" t="s">
        <v>2</v>
      </c>
      <c r="I1338" s="26" t="s">
        <v>476</v>
      </c>
      <c r="J1338" s="13" t="s">
        <v>58</v>
      </c>
      <c r="K1338" s="17">
        <v>725</v>
      </c>
      <c r="L1338" s="17">
        <v>251.1</v>
      </c>
      <c r="M1338" s="17">
        <f t="shared" si="163"/>
        <v>34.634482758620692</v>
      </c>
    </row>
    <row r="1339" spans="1:15" ht="24" customHeight="1" x14ac:dyDescent="0.2">
      <c r="A1339" s="85"/>
      <c r="B1339" s="33" t="s">
        <v>60</v>
      </c>
      <c r="C1339" s="42">
        <v>953</v>
      </c>
      <c r="D1339" s="26" t="s">
        <v>21</v>
      </c>
      <c r="E1339" s="26" t="s">
        <v>30</v>
      </c>
      <c r="F1339" s="26" t="s">
        <v>21</v>
      </c>
      <c r="G1339" s="42">
        <v>2</v>
      </c>
      <c r="H1339" s="26" t="s">
        <v>2</v>
      </c>
      <c r="I1339" s="26" t="s">
        <v>476</v>
      </c>
      <c r="J1339" s="13" t="s">
        <v>61</v>
      </c>
      <c r="K1339" s="17">
        <v>0</v>
      </c>
      <c r="L1339" s="17">
        <v>0</v>
      </c>
      <c r="M1339" s="17"/>
    </row>
    <row r="1340" spans="1:15" ht="18.75" x14ac:dyDescent="0.3">
      <c r="A1340" s="28"/>
      <c r="D1340" s="28"/>
      <c r="K1340" s="18"/>
    </row>
    <row r="1341" spans="1:15" ht="17.25" customHeight="1" x14ac:dyDescent="0.3">
      <c r="A1341" s="28"/>
      <c r="K1341" s="18"/>
    </row>
    <row r="1342" spans="1:15" ht="58.15" customHeight="1" x14ac:dyDescent="0.3">
      <c r="A1342" s="28"/>
      <c r="B1342" s="38" t="s">
        <v>568</v>
      </c>
      <c r="C1342" s="6"/>
      <c r="D1342" s="4" t="s">
        <v>588</v>
      </c>
      <c r="F1342" s="21"/>
      <c r="G1342" s="2"/>
      <c r="H1342" s="20"/>
      <c r="I1342" s="20"/>
      <c r="J1342" s="20"/>
      <c r="K1342" s="22"/>
      <c r="L1342" s="22"/>
      <c r="M1342" s="22" t="s">
        <v>518</v>
      </c>
    </row>
    <row r="1343" spans="1:15" ht="30.75" customHeight="1" x14ac:dyDescent="0.2">
      <c r="A1343" s="28"/>
      <c r="B1343" s="31"/>
      <c r="D1343" s="5"/>
    </row>
    <row r="1344" spans="1:15" ht="17.25" customHeight="1" x14ac:dyDescent="0.2">
      <c r="A1344" s="28"/>
    </row>
    <row r="1345" spans="1:10" x14ac:dyDescent="0.2">
      <c r="A1345" s="28"/>
      <c r="B1345" s="32" t="s">
        <v>588</v>
      </c>
    </row>
    <row r="1346" spans="1:10" ht="36" customHeight="1" x14ac:dyDescent="0.2">
      <c r="A1346" s="28"/>
    </row>
    <row r="1347" spans="1:10" ht="16.149999999999999" customHeight="1" x14ac:dyDescent="0.2">
      <c r="A1347" s="28"/>
    </row>
    <row r="1348" spans="1:10" ht="61.9" customHeight="1" x14ac:dyDescent="0.2">
      <c r="A1348" s="28"/>
    </row>
    <row r="1349" spans="1:10" ht="15" customHeight="1" x14ac:dyDescent="0.2">
      <c r="A1349" s="28"/>
    </row>
    <row r="1350" spans="1:10" ht="96.6" customHeight="1" x14ac:dyDescent="0.2">
      <c r="A1350" s="28"/>
    </row>
    <row r="1351" spans="1:10" x14ac:dyDescent="0.2">
      <c r="A1351" s="28"/>
      <c r="E1351" s="3"/>
      <c r="J1351" s="3"/>
    </row>
    <row r="1352" spans="1:10" x14ac:dyDescent="0.2">
      <c r="A1352" s="28"/>
      <c r="D1352" s="3"/>
      <c r="E1352" s="3"/>
      <c r="J1352" s="3"/>
    </row>
    <row r="1353" spans="1:10" x14ac:dyDescent="0.2">
      <c r="A1353" s="28"/>
      <c r="D1353" s="3"/>
    </row>
    <row r="1354" spans="1:10" ht="16.899999999999999" customHeight="1" x14ac:dyDescent="0.2">
      <c r="A1354" s="28"/>
      <c r="E1354" s="3"/>
      <c r="J1354" s="3"/>
    </row>
    <row r="1355" spans="1:10" ht="16.899999999999999" customHeight="1" x14ac:dyDescent="0.2">
      <c r="A1355" s="28"/>
      <c r="D1355" s="3"/>
    </row>
    <row r="1356" spans="1:10" ht="49.9" customHeight="1" x14ac:dyDescent="0.2">
      <c r="A1356" s="28"/>
    </row>
    <row r="1357" spans="1:10" ht="54.75" customHeight="1" x14ac:dyDescent="0.2">
      <c r="A1357" s="28"/>
    </row>
    <row r="1358" spans="1:10" ht="33" customHeight="1" x14ac:dyDescent="0.2">
      <c r="A1358" s="28"/>
    </row>
    <row r="1359" spans="1:10" ht="141.6" customHeight="1" x14ac:dyDescent="0.2">
      <c r="A1359" s="28"/>
    </row>
    <row r="1360" spans="1:10" ht="50.25" customHeight="1" x14ac:dyDescent="0.2">
      <c r="A1360" s="28"/>
    </row>
    <row r="1361" spans="1:12" ht="33.6" customHeight="1" x14ac:dyDescent="0.2">
      <c r="A1361" s="28"/>
      <c r="E1361" s="3"/>
      <c r="J1361" s="3"/>
    </row>
    <row r="1362" spans="1:12" ht="46.5" customHeight="1" x14ac:dyDescent="0.2">
      <c r="A1362" s="28"/>
      <c r="D1362" s="3"/>
    </row>
    <row r="1363" spans="1:12" ht="49.15" customHeight="1" x14ac:dyDescent="0.2">
      <c r="A1363" s="28"/>
    </row>
    <row r="1364" spans="1:12" ht="33.6" customHeight="1" x14ac:dyDescent="0.2">
      <c r="A1364" s="28"/>
      <c r="E1364" s="3"/>
      <c r="J1364" s="3"/>
    </row>
    <row r="1365" spans="1:12" ht="17.45" customHeight="1" x14ac:dyDescent="0.2">
      <c r="A1365" s="28"/>
      <c r="D1365" s="3"/>
    </row>
    <row r="1366" spans="1:12" s="9" customFormat="1" x14ac:dyDescent="0.2">
      <c r="A1366" s="35"/>
      <c r="B1366" s="32"/>
      <c r="C1366" s="3"/>
      <c r="D1366" s="4"/>
      <c r="E1366" s="4"/>
      <c r="F1366" s="4"/>
      <c r="G1366" s="3"/>
      <c r="H1366" s="4"/>
      <c r="I1366" s="4"/>
      <c r="J1366" s="4"/>
      <c r="K1366" s="3"/>
      <c r="L1366" s="15"/>
    </row>
    <row r="1367" spans="1:12" s="9" customFormat="1" ht="12" customHeight="1" x14ac:dyDescent="0.2">
      <c r="A1367" s="35"/>
      <c r="B1367" s="32"/>
      <c r="C1367" s="3"/>
      <c r="D1367" s="4"/>
      <c r="E1367" s="4"/>
      <c r="F1367" s="4"/>
      <c r="G1367" s="3"/>
      <c r="H1367" s="4"/>
      <c r="I1367" s="4"/>
      <c r="J1367" s="4"/>
      <c r="K1367" s="3"/>
      <c r="L1367" s="15"/>
    </row>
    <row r="1368" spans="1:12" s="2" customFormat="1" ht="58.9" customHeight="1" x14ac:dyDescent="0.25">
      <c r="A1368" s="36" t="s">
        <v>568</v>
      </c>
      <c r="B1368" s="32"/>
      <c r="C1368" s="3"/>
      <c r="D1368" s="4"/>
      <c r="E1368" s="4"/>
      <c r="F1368" s="4"/>
      <c r="G1368" s="3"/>
      <c r="H1368" s="4"/>
      <c r="I1368" s="4"/>
      <c r="J1368" s="4"/>
      <c r="K1368" s="3"/>
      <c r="L1368" s="16"/>
    </row>
    <row r="1369" spans="1:12" ht="15" customHeight="1" x14ac:dyDescent="0.2">
      <c r="A1369" s="37"/>
    </row>
    <row r="1370" spans="1:12" x14ac:dyDescent="0.2">
      <c r="A1370" s="37"/>
    </row>
    <row r="1371" spans="1:12" x14ac:dyDescent="0.2">
      <c r="A1371" s="37"/>
      <c r="E1371" s="3"/>
      <c r="J1371" s="3"/>
    </row>
    <row r="1372" spans="1:12" x14ac:dyDescent="0.2">
      <c r="A1372" s="37"/>
      <c r="D1372" s="3"/>
    </row>
    <row r="1373" spans="1:12" ht="22.5" customHeight="1" x14ac:dyDescent="0.2">
      <c r="A1373" s="37"/>
    </row>
    <row r="1374" spans="1:12" x14ac:dyDescent="0.2">
      <c r="A1374" s="37"/>
    </row>
    <row r="1375" spans="1:12" x14ac:dyDescent="0.2">
      <c r="A1375" s="37"/>
    </row>
    <row r="1376" spans="1:12" x14ac:dyDescent="0.2">
      <c r="A1376" s="37"/>
    </row>
    <row r="1377" spans="1:10" ht="37.5" customHeight="1" x14ac:dyDescent="0.2">
      <c r="A1377" s="37"/>
    </row>
    <row r="1378" spans="1:10" ht="23.25" customHeight="1" x14ac:dyDescent="0.2">
      <c r="A1378" s="37"/>
    </row>
    <row r="1379" spans="1:10" x14ac:dyDescent="0.2">
      <c r="A1379" s="37"/>
    </row>
    <row r="1380" spans="1:10" ht="24.75" customHeight="1" x14ac:dyDescent="0.2">
      <c r="A1380" s="37"/>
    </row>
    <row r="1381" spans="1:10" x14ac:dyDescent="0.2">
      <c r="A1381" s="37"/>
    </row>
    <row r="1382" spans="1:10" x14ac:dyDescent="0.2">
      <c r="A1382" s="37"/>
      <c r="E1382" s="3"/>
      <c r="J1382" s="3"/>
    </row>
    <row r="1383" spans="1:10" x14ac:dyDescent="0.2">
      <c r="A1383" s="37"/>
      <c r="D1383" s="3"/>
      <c r="E1383" s="3"/>
      <c r="J1383" s="3"/>
    </row>
    <row r="1384" spans="1:10" x14ac:dyDescent="0.2">
      <c r="A1384" s="37"/>
      <c r="D1384" s="3"/>
      <c r="E1384" s="3"/>
      <c r="J1384" s="3"/>
    </row>
    <row r="1385" spans="1:10" x14ac:dyDescent="0.2">
      <c r="A1385" s="37"/>
      <c r="D1385" s="3"/>
      <c r="E1385" s="3"/>
      <c r="J1385" s="3"/>
    </row>
    <row r="1386" spans="1:10" x14ac:dyDescent="0.2">
      <c r="A1386" s="37"/>
      <c r="D1386" s="3"/>
      <c r="E1386" s="3"/>
      <c r="J1386" s="3"/>
    </row>
    <row r="1387" spans="1:10" ht="21.75" customHeight="1" x14ac:dyDescent="0.2">
      <c r="A1387" s="37"/>
      <c r="D1387" s="3"/>
    </row>
    <row r="1388" spans="1:10" x14ac:dyDescent="0.2">
      <c r="A1388" s="37"/>
    </row>
    <row r="1389" spans="1:10" x14ac:dyDescent="0.2">
      <c r="A1389" s="37"/>
    </row>
    <row r="1390" spans="1:10" ht="23.25" customHeight="1" x14ac:dyDescent="0.2">
      <c r="A1390" s="37"/>
    </row>
    <row r="1391" spans="1:10" x14ac:dyDescent="0.2">
      <c r="A1391" s="37"/>
    </row>
    <row r="1392" spans="1:10" x14ac:dyDescent="0.2">
      <c r="A1392" s="37"/>
    </row>
    <row r="1393" spans="1:10" x14ac:dyDescent="0.2">
      <c r="A1393" s="37"/>
    </row>
    <row r="1394" spans="1:10" x14ac:dyDescent="0.2">
      <c r="A1394" s="37"/>
    </row>
    <row r="1395" spans="1:10" x14ac:dyDescent="0.2">
      <c r="A1395" s="37"/>
      <c r="E1395" s="3"/>
      <c r="J1395" s="3"/>
    </row>
    <row r="1396" spans="1:10" x14ac:dyDescent="0.2">
      <c r="A1396" s="37"/>
      <c r="D1396" s="3"/>
    </row>
    <row r="1397" spans="1:10" ht="24" customHeight="1" x14ac:dyDescent="0.2">
      <c r="A1397" s="37"/>
    </row>
    <row r="1398" spans="1:10" x14ac:dyDescent="0.2">
      <c r="A1398" s="37"/>
    </row>
    <row r="1399" spans="1:10" x14ac:dyDescent="0.2">
      <c r="A1399" s="37"/>
      <c r="E1399" s="3"/>
      <c r="J1399" s="3"/>
    </row>
    <row r="1400" spans="1:10" x14ac:dyDescent="0.2">
      <c r="A1400" s="37"/>
      <c r="D1400" s="3"/>
    </row>
    <row r="1401" spans="1:10" x14ac:dyDescent="0.2">
      <c r="A1401" s="37"/>
      <c r="E1401" s="3"/>
      <c r="J1401" s="3"/>
    </row>
    <row r="1402" spans="1:10" x14ac:dyDescent="0.2">
      <c r="A1402" s="37"/>
      <c r="D1402" s="3"/>
    </row>
    <row r="1403" spans="1:10" x14ac:dyDescent="0.2">
      <c r="A1403" s="37"/>
      <c r="E1403" s="3"/>
      <c r="J1403" s="3"/>
    </row>
    <row r="1404" spans="1:10" x14ac:dyDescent="0.2">
      <c r="A1404" s="37"/>
      <c r="D1404" s="3"/>
      <c r="E1404" s="3"/>
      <c r="J1404" s="3"/>
    </row>
    <row r="1405" spans="1:10" x14ac:dyDescent="0.2">
      <c r="A1405" s="37"/>
      <c r="D1405" s="3"/>
    </row>
    <row r="1406" spans="1:10" x14ac:dyDescent="0.2">
      <c r="A1406" s="37"/>
    </row>
    <row r="1407" spans="1:10" x14ac:dyDescent="0.2">
      <c r="A1407" s="37"/>
      <c r="E1407" s="3"/>
      <c r="J1407" s="3"/>
    </row>
    <row r="1408" spans="1:10" ht="18.75" customHeight="1" x14ac:dyDescent="0.2">
      <c r="A1408" s="37"/>
      <c r="D1408" s="3"/>
    </row>
    <row r="1409" spans="1:10" ht="18.75" customHeight="1" x14ac:dyDescent="0.2">
      <c r="A1409" s="37"/>
    </row>
    <row r="1410" spans="1:10" ht="15.75" customHeight="1" x14ac:dyDescent="0.2">
      <c r="A1410" s="37"/>
      <c r="E1410" s="3"/>
      <c r="J1410" s="3"/>
    </row>
    <row r="1411" spans="1:10" ht="24" customHeight="1" x14ac:dyDescent="0.2">
      <c r="A1411" s="37"/>
      <c r="D1411" s="3"/>
      <c r="E1411" s="3"/>
      <c r="J1411" s="3"/>
    </row>
    <row r="1412" spans="1:10" ht="18" customHeight="1" x14ac:dyDescent="0.2">
      <c r="A1412" s="37"/>
      <c r="D1412" s="3"/>
      <c r="E1412" s="3"/>
      <c r="J1412" s="3"/>
    </row>
    <row r="1413" spans="1:10" x14ac:dyDescent="0.2">
      <c r="A1413" s="37"/>
      <c r="D1413" s="3"/>
    </row>
    <row r="1414" spans="1:10" x14ac:dyDescent="0.2">
      <c r="A1414" s="37"/>
    </row>
    <row r="1415" spans="1:10" x14ac:dyDescent="0.2">
      <c r="A1415" s="37"/>
      <c r="E1415" s="3"/>
      <c r="J1415" s="3"/>
    </row>
    <row r="1416" spans="1:10" x14ac:dyDescent="0.2">
      <c r="A1416" s="37"/>
      <c r="D1416" s="3"/>
    </row>
    <row r="1417" spans="1:10" x14ac:dyDescent="0.2">
      <c r="A1417" s="37"/>
    </row>
    <row r="1418" spans="1:10" x14ac:dyDescent="0.2">
      <c r="A1418" s="37"/>
    </row>
    <row r="1419" spans="1:10" x14ac:dyDescent="0.2">
      <c r="A1419" s="37"/>
    </row>
    <row r="1420" spans="1:10" x14ac:dyDescent="0.2">
      <c r="A1420" s="37"/>
      <c r="E1420" s="3"/>
      <c r="J1420" s="3"/>
    </row>
    <row r="1421" spans="1:10" ht="48.75" customHeight="1" x14ac:dyDescent="0.2">
      <c r="A1421" s="37"/>
      <c r="D1421" s="3"/>
    </row>
    <row r="1422" spans="1:10" x14ac:dyDescent="0.2">
      <c r="A1422" s="37"/>
      <c r="E1422" s="3"/>
      <c r="J1422" s="3"/>
    </row>
    <row r="1423" spans="1:10" x14ac:dyDescent="0.2">
      <c r="A1423" s="37"/>
      <c r="D1423" s="3"/>
    </row>
    <row r="1424" spans="1:10" x14ac:dyDescent="0.2">
      <c r="A1424" s="37"/>
    </row>
    <row r="1425" spans="1:10" ht="38.25" customHeight="1" x14ac:dyDescent="0.2">
      <c r="A1425" s="37"/>
      <c r="E1425" s="3"/>
      <c r="J1425" s="3"/>
    </row>
    <row r="1426" spans="1:10" x14ac:dyDescent="0.2">
      <c r="A1426" s="37"/>
      <c r="D1426" s="3"/>
    </row>
    <row r="1427" spans="1:10" ht="48" customHeight="1" x14ac:dyDescent="0.2">
      <c r="A1427" s="37"/>
      <c r="E1427" s="3"/>
      <c r="J1427" s="3"/>
    </row>
    <row r="1428" spans="1:10" x14ac:dyDescent="0.2">
      <c r="A1428" s="37"/>
      <c r="D1428" s="3"/>
      <c r="E1428" s="3"/>
      <c r="J1428" s="3"/>
    </row>
    <row r="1429" spans="1:10" ht="51" customHeight="1" x14ac:dyDescent="0.2">
      <c r="A1429" s="37"/>
      <c r="D1429" s="3"/>
    </row>
    <row r="1430" spans="1:10" ht="32.25" customHeight="1" x14ac:dyDescent="0.2">
      <c r="A1430" s="37"/>
    </row>
    <row r="1431" spans="1:10" x14ac:dyDescent="0.2">
      <c r="A1431" s="37"/>
    </row>
    <row r="1432" spans="1:10" x14ac:dyDescent="0.2">
      <c r="A1432" s="37"/>
    </row>
    <row r="1433" spans="1:10" ht="48" customHeight="1" x14ac:dyDescent="0.2"/>
    <row r="1436" spans="1:10" ht="18" customHeight="1" x14ac:dyDescent="0.2"/>
    <row r="1437" spans="1:10" ht="50.25" customHeight="1" x14ac:dyDescent="0.2"/>
    <row r="1438" spans="1:10" ht="47.25" customHeight="1" x14ac:dyDescent="0.2"/>
    <row r="1440" spans="1:10" x14ac:dyDescent="0.2">
      <c r="E1440" s="3"/>
      <c r="J1440" s="3"/>
    </row>
    <row r="1441" spans="4:10" ht="51.75" customHeight="1" x14ac:dyDescent="0.2">
      <c r="D1441" s="3"/>
    </row>
    <row r="1442" spans="4:10" x14ac:dyDescent="0.2">
      <c r="E1442" s="3"/>
      <c r="J1442" s="3"/>
    </row>
    <row r="1443" spans="4:10" x14ac:dyDescent="0.2">
      <c r="D1443" s="3"/>
    </row>
    <row r="1444" spans="4:10" x14ac:dyDescent="0.2">
      <c r="E1444" s="3"/>
      <c r="J1444" s="3"/>
    </row>
    <row r="1445" spans="4:10" x14ac:dyDescent="0.2">
      <c r="D1445" s="3"/>
    </row>
    <row r="1446" spans="4:10" ht="50.25" customHeight="1" x14ac:dyDescent="0.2">
      <c r="E1446" s="3"/>
      <c r="J1446" s="3"/>
    </row>
    <row r="1447" spans="4:10" x14ac:dyDescent="0.2">
      <c r="D1447" s="3"/>
      <c r="E1447" s="3"/>
      <c r="J1447" s="3"/>
    </row>
    <row r="1448" spans="4:10" ht="32.25" customHeight="1" x14ac:dyDescent="0.2">
      <c r="D1448" s="3"/>
    </row>
    <row r="1449" spans="4:10" x14ac:dyDescent="0.2">
      <c r="E1449" s="3"/>
      <c r="J1449" s="3"/>
    </row>
    <row r="1450" spans="4:10" x14ac:dyDescent="0.2">
      <c r="D1450" s="3"/>
      <c r="E1450" s="3"/>
      <c r="J1450" s="3"/>
    </row>
    <row r="1451" spans="4:10" ht="53.25" customHeight="1" x14ac:dyDescent="0.2">
      <c r="D1451" s="3"/>
    </row>
    <row r="1453" spans="4:10" ht="66" customHeight="1" x14ac:dyDescent="0.2"/>
    <row r="1454" spans="4:10" ht="51" customHeight="1" x14ac:dyDescent="0.2"/>
    <row r="1457" spans="4:10" x14ac:dyDescent="0.2">
      <c r="E1457" s="3"/>
      <c r="J1457" s="3"/>
    </row>
    <row r="1458" spans="4:10" x14ac:dyDescent="0.2">
      <c r="D1458" s="3"/>
    </row>
    <row r="1466" spans="4:10" ht="115.5" customHeight="1" x14ac:dyDescent="0.2">
      <c r="E1466" s="3"/>
      <c r="J1466" s="3"/>
    </row>
    <row r="1467" spans="4:10" x14ac:dyDescent="0.2">
      <c r="D1467" s="3"/>
      <c r="E1467" s="3"/>
      <c r="J1467" s="3"/>
    </row>
    <row r="1468" spans="4:10" ht="131.25" customHeight="1" x14ac:dyDescent="0.2">
      <c r="D1468" s="3"/>
      <c r="E1468" s="3"/>
      <c r="J1468" s="3"/>
    </row>
    <row r="1469" spans="4:10" x14ac:dyDescent="0.2">
      <c r="D1469" s="3"/>
      <c r="E1469" s="3"/>
      <c r="J1469" s="3"/>
    </row>
    <row r="1470" spans="4:10" ht="38.25" customHeight="1" x14ac:dyDescent="0.2">
      <c r="D1470" s="3"/>
    </row>
    <row r="1472" spans="4:10" ht="78" customHeight="1" x14ac:dyDescent="0.2"/>
    <row r="1473" spans="4:10" ht="22.5" customHeight="1" x14ac:dyDescent="0.2">
      <c r="E1473" s="3"/>
      <c r="J1473" s="3"/>
    </row>
    <row r="1474" spans="4:10" x14ac:dyDescent="0.2">
      <c r="D1474" s="3"/>
      <c r="E1474" s="3"/>
      <c r="J1474" s="3"/>
    </row>
    <row r="1475" spans="4:10" ht="24" customHeight="1" x14ac:dyDescent="0.2">
      <c r="D1475" s="3"/>
    </row>
    <row r="1476" spans="4:10" ht="66" customHeight="1" x14ac:dyDescent="0.2"/>
    <row r="1483" spans="4:10" ht="18" customHeight="1" x14ac:dyDescent="0.2"/>
    <row r="1484" spans="4:10" x14ac:dyDescent="0.2">
      <c r="E1484" s="3"/>
      <c r="J1484" s="3"/>
    </row>
    <row r="1485" spans="4:10" x14ac:dyDescent="0.2">
      <c r="D1485" s="3"/>
    </row>
    <row r="1492" spans="4:10" ht="22.5" customHeight="1" x14ac:dyDescent="0.2"/>
    <row r="1493" spans="4:10" ht="48" customHeight="1" x14ac:dyDescent="0.2"/>
    <row r="1494" spans="4:10" ht="21" customHeight="1" x14ac:dyDescent="0.2">
      <c r="E1494" s="3"/>
      <c r="J1494" s="3"/>
    </row>
    <row r="1495" spans="4:10" ht="51" customHeight="1" x14ac:dyDescent="0.2">
      <c r="D1495" s="3"/>
    </row>
    <row r="1498" spans="4:10" x14ac:dyDescent="0.2">
      <c r="E1498" s="3"/>
      <c r="J1498" s="3"/>
    </row>
    <row r="1499" spans="4:10" ht="28.5" customHeight="1" x14ac:dyDescent="0.2">
      <c r="D1499" s="3"/>
    </row>
    <row r="1500" spans="4:10" ht="23.25" customHeight="1" x14ac:dyDescent="0.2"/>
    <row r="1502" spans="4:10" x14ac:dyDescent="0.2">
      <c r="E1502" s="3"/>
      <c r="J1502" s="3"/>
    </row>
    <row r="1503" spans="4:10" x14ac:dyDescent="0.2">
      <c r="D1503" s="3"/>
    </row>
    <row r="1507" spans="4:10" x14ac:dyDescent="0.2">
      <c r="E1507" s="3"/>
      <c r="J1507" s="3"/>
    </row>
    <row r="1508" spans="4:10" x14ac:dyDescent="0.2">
      <c r="D1508" s="3"/>
    </row>
    <row r="1510" spans="4:10" ht="27" customHeight="1" x14ac:dyDescent="0.2"/>
    <row r="1512" spans="4:10" x14ac:dyDescent="0.2">
      <c r="E1512" s="3"/>
      <c r="J1512" s="3"/>
    </row>
    <row r="1513" spans="4:10" x14ac:dyDescent="0.2">
      <c r="D1513" s="3"/>
    </row>
    <row r="1517" spans="4:10" x14ac:dyDescent="0.2">
      <c r="E1517" s="3"/>
      <c r="J1517" s="3"/>
    </row>
    <row r="1518" spans="4:10" x14ac:dyDescent="0.2">
      <c r="D1518" s="3"/>
    </row>
    <row r="1520" spans="4:10" ht="53.25" customHeight="1" x14ac:dyDescent="0.2">
      <c r="E1520" s="3"/>
      <c r="J1520" s="3"/>
    </row>
    <row r="1521" spans="4:10" x14ac:dyDescent="0.2">
      <c r="D1521" s="3"/>
    </row>
    <row r="1522" spans="4:10" x14ac:dyDescent="0.2">
      <c r="E1522" s="3"/>
      <c r="J1522" s="3"/>
    </row>
    <row r="1523" spans="4:10" x14ac:dyDescent="0.2">
      <c r="D1523" s="3"/>
    </row>
    <row r="1524" spans="4:10" ht="48" customHeight="1" x14ac:dyDescent="0.2"/>
    <row r="1525" spans="4:10" x14ac:dyDescent="0.2">
      <c r="E1525" s="3"/>
      <c r="J1525" s="3"/>
    </row>
    <row r="1526" spans="4:10" x14ac:dyDescent="0.2">
      <c r="D1526" s="3"/>
      <c r="E1526" s="3"/>
      <c r="J1526" s="3"/>
    </row>
    <row r="1527" spans="4:10" x14ac:dyDescent="0.2">
      <c r="D1527" s="3"/>
    </row>
    <row r="1528" spans="4:10" ht="19.5" customHeight="1" x14ac:dyDescent="0.2"/>
    <row r="1533" spans="4:10" ht="50.25" customHeight="1" x14ac:dyDescent="0.2"/>
    <row r="1534" spans="4:10" x14ac:dyDescent="0.2">
      <c r="E1534" s="3"/>
      <c r="J1534" s="3"/>
    </row>
    <row r="1535" spans="4:10" x14ac:dyDescent="0.2">
      <c r="D1535" s="3"/>
    </row>
    <row r="1538" spans="4:10" ht="48.75" customHeight="1" x14ac:dyDescent="0.2">
      <c r="E1538" s="3"/>
      <c r="J1538" s="3"/>
    </row>
    <row r="1539" spans="4:10" x14ac:dyDescent="0.2">
      <c r="D1539" s="3"/>
    </row>
    <row r="1543" spans="4:10" ht="54.75" customHeight="1" x14ac:dyDescent="0.2"/>
    <row r="1546" spans="4:10" ht="36.75" customHeight="1" x14ac:dyDescent="0.2">
      <c r="E1546" s="3"/>
      <c r="J1546" s="3"/>
    </row>
    <row r="1547" spans="4:10" x14ac:dyDescent="0.2">
      <c r="D1547" s="3"/>
    </row>
    <row r="1548" spans="4:10" ht="49.5" customHeight="1" x14ac:dyDescent="0.2">
      <c r="E1548" s="3"/>
      <c r="J1548" s="3"/>
    </row>
    <row r="1549" spans="4:10" x14ac:dyDescent="0.2">
      <c r="D1549" s="3"/>
      <c r="E1549" s="3"/>
      <c r="J1549" s="3"/>
    </row>
    <row r="1550" spans="4:10" x14ac:dyDescent="0.2">
      <c r="D1550" s="3"/>
      <c r="E1550" s="3"/>
      <c r="J1550" s="3"/>
    </row>
    <row r="1551" spans="4:10" ht="32.25" customHeight="1" x14ac:dyDescent="0.2">
      <c r="D1551" s="3"/>
      <c r="E1551" s="3"/>
      <c r="J1551" s="3"/>
    </row>
    <row r="1552" spans="4:10" ht="51" customHeight="1" x14ac:dyDescent="0.2">
      <c r="D1552" s="3"/>
    </row>
    <row r="1553" spans="4:10" x14ac:dyDescent="0.2">
      <c r="E1553" s="3"/>
      <c r="J1553" s="3"/>
    </row>
    <row r="1554" spans="4:10" x14ac:dyDescent="0.2">
      <c r="D1554" s="3"/>
    </row>
    <row r="1555" spans="4:10" x14ac:dyDescent="0.2">
      <c r="E1555" s="3"/>
      <c r="J1555" s="3"/>
    </row>
    <row r="1556" spans="4:10" x14ac:dyDescent="0.2">
      <c r="D1556" s="3"/>
      <c r="E1556" s="3"/>
      <c r="J1556" s="3"/>
    </row>
    <row r="1557" spans="4:10" x14ac:dyDescent="0.2">
      <c r="D1557" s="3"/>
    </row>
    <row r="1558" spans="4:10" x14ac:dyDescent="0.2">
      <c r="E1558" s="3"/>
      <c r="J1558" s="3"/>
    </row>
    <row r="1559" spans="4:10" x14ac:dyDescent="0.2">
      <c r="D1559" s="3"/>
    </row>
    <row r="1560" spans="4:10" ht="50.25" customHeight="1" x14ac:dyDescent="0.2"/>
    <row r="1564" spans="4:10" ht="36" customHeight="1" x14ac:dyDescent="0.2">
      <c r="E1564" s="3"/>
      <c r="J1564" s="3"/>
    </row>
    <row r="1565" spans="4:10" x14ac:dyDescent="0.2">
      <c r="D1565" s="3"/>
    </row>
    <row r="1566" spans="4:10" x14ac:dyDescent="0.2">
      <c r="E1566" s="3"/>
      <c r="J1566" s="3"/>
    </row>
    <row r="1567" spans="4:10" x14ac:dyDescent="0.2">
      <c r="D1567" s="3"/>
    </row>
    <row r="1569" spans="4:10" x14ac:dyDescent="0.2">
      <c r="E1569" s="3"/>
      <c r="J1569" s="3"/>
    </row>
    <row r="1570" spans="4:10" x14ac:dyDescent="0.2">
      <c r="D1570" s="3"/>
      <c r="E1570" s="3"/>
      <c r="J1570" s="3"/>
    </row>
    <row r="1571" spans="4:10" x14ac:dyDescent="0.2">
      <c r="D1571" s="3"/>
      <c r="E1571" s="3"/>
      <c r="J1571" s="3"/>
    </row>
    <row r="1572" spans="4:10" ht="24" customHeight="1" x14ac:dyDescent="0.2">
      <c r="D1572" s="3"/>
      <c r="E1572" s="3"/>
      <c r="J1572" s="3"/>
    </row>
    <row r="1573" spans="4:10" x14ac:dyDescent="0.2">
      <c r="D1573" s="3"/>
      <c r="E1573" s="3"/>
      <c r="J1573" s="3"/>
    </row>
    <row r="1574" spans="4:10" ht="113.25" customHeight="1" x14ac:dyDescent="0.2">
      <c r="D1574" s="3"/>
      <c r="E1574" s="3"/>
      <c r="J1574" s="3"/>
    </row>
    <row r="1575" spans="4:10" ht="27.75" customHeight="1" x14ac:dyDescent="0.2">
      <c r="D1575" s="3"/>
    </row>
    <row r="1576" spans="4:10" ht="51.75" customHeight="1" x14ac:dyDescent="0.2">
      <c r="E1576" s="3"/>
      <c r="J1576" s="3"/>
    </row>
    <row r="1577" spans="4:10" ht="47.25" customHeight="1" x14ac:dyDescent="0.2">
      <c r="D1577" s="3"/>
    </row>
    <row r="1578" spans="4:10" x14ac:dyDescent="0.2">
      <c r="E1578" s="3"/>
      <c r="J1578" s="3"/>
    </row>
    <row r="1579" spans="4:10" ht="37.5" customHeight="1" x14ac:dyDescent="0.2">
      <c r="D1579" s="3"/>
      <c r="E1579" s="3"/>
      <c r="J1579" s="3"/>
    </row>
    <row r="1580" spans="4:10" x14ac:dyDescent="0.2">
      <c r="D1580" s="3"/>
    </row>
    <row r="1581" spans="4:10" ht="50.25" customHeight="1" x14ac:dyDescent="0.2">
      <c r="E1581" s="3"/>
      <c r="J1581" s="3"/>
    </row>
    <row r="1582" spans="4:10" ht="48" customHeight="1" x14ac:dyDescent="0.2">
      <c r="D1582" s="3"/>
    </row>
    <row r="1584" spans="4:10" ht="34.5" customHeight="1" x14ac:dyDescent="0.2"/>
    <row r="1587" spans="4:10" x14ac:dyDescent="0.2">
      <c r="E1587" s="3"/>
      <c r="J1587" s="3"/>
    </row>
    <row r="1588" spans="4:10" x14ac:dyDescent="0.2">
      <c r="D1588" s="3"/>
    </row>
    <row r="1590" spans="4:10" ht="53.25" customHeight="1" x14ac:dyDescent="0.2"/>
    <row r="1591" spans="4:10" x14ac:dyDescent="0.2">
      <c r="E1591" s="3"/>
      <c r="J1591" s="3"/>
    </row>
    <row r="1592" spans="4:10" ht="36.75" customHeight="1" x14ac:dyDescent="0.2">
      <c r="D1592" s="3"/>
    </row>
    <row r="1595" spans="4:10" ht="53.25" customHeight="1" x14ac:dyDescent="0.2"/>
    <row r="1596" spans="4:10" ht="38.25" customHeight="1" x14ac:dyDescent="0.2"/>
    <row r="1597" spans="4:10" ht="112.5" customHeight="1" x14ac:dyDescent="0.2"/>
    <row r="1598" spans="4:10" ht="24" customHeight="1" x14ac:dyDescent="0.2">
      <c r="E1598" s="3"/>
      <c r="J1598" s="3"/>
    </row>
    <row r="1599" spans="4:10" ht="52.5" customHeight="1" x14ac:dyDescent="0.2">
      <c r="D1599" s="3"/>
      <c r="E1599" s="3"/>
      <c r="J1599" s="3"/>
    </row>
    <row r="1600" spans="4:10" ht="51" customHeight="1" x14ac:dyDescent="0.2">
      <c r="D1600" s="3"/>
    </row>
    <row r="1602" spans="4:10" ht="33" customHeight="1" x14ac:dyDescent="0.2"/>
    <row r="1604" spans="4:10" ht="47.25" customHeight="1" x14ac:dyDescent="0.2"/>
    <row r="1605" spans="4:10" ht="54.75" customHeight="1" x14ac:dyDescent="0.2"/>
    <row r="1606" spans="4:10" x14ac:dyDescent="0.2">
      <c r="E1606" s="3"/>
      <c r="J1606" s="3"/>
    </row>
    <row r="1607" spans="4:10" ht="42.75" customHeight="1" x14ac:dyDescent="0.2">
      <c r="D1607" s="3"/>
    </row>
    <row r="1608" spans="4:10" x14ac:dyDescent="0.2">
      <c r="E1608" s="3"/>
      <c r="J1608" s="3"/>
    </row>
    <row r="1609" spans="4:10" x14ac:dyDescent="0.2">
      <c r="D1609" s="3"/>
    </row>
    <row r="1610" spans="4:10" x14ac:dyDescent="0.2">
      <c r="E1610" s="3"/>
      <c r="J1610" s="3"/>
    </row>
    <row r="1611" spans="4:10" x14ac:dyDescent="0.2">
      <c r="D1611" s="3"/>
      <c r="E1611" s="3"/>
      <c r="J1611" s="3"/>
    </row>
    <row r="1612" spans="4:10" x14ac:dyDescent="0.2">
      <c r="D1612" s="3"/>
    </row>
    <row r="1613" spans="4:10" ht="50.25" customHeight="1" x14ac:dyDescent="0.2"/>
    <row r="1617" spans="4:10" ht="52.5" customHeight="1" x14ac:dyDescent="0.2">
      <c r="E1617" s="3"/>
      <c r="J1617" s="3"/>
    </row>
    <row r="1618" spans="4:10" x14ac:dyDescent="0.2">
      <c r="D1618" s="3"/>
    </row>
    <row r="1621" spans="4:10" x14ac:dyDescent="0.2">
      <c r="E1621" s="3"/>
      <c r="J1621" s="3"/>
    </row>
    <row r="1622" spans="4:10" x14ac:dyDescent="0.2">
      <c r="D1622" s="3"/>
    </row>
    <row r="1624" spans="4:10" ht="79.5" customHeight="1" x14ac:dyDescent="0.2"/>
    <row r="1625" spans="4:10" ht="27.75" customHeight="1" x14ac:dyDescent="0.2"/>
    <row r="1627" spans="4:10" x14ac:dyDescent="0.2">
      <c r="E1627" s="3"/>
      <c r="J1627" s="3"/>
    </row>
    <row r="1628" spans="4:10" x14ac:dyDescent="0.2">
      <c r="D1628" s="3"/>
      <c r="E1628" s="3"/>
      <c r="J1628" s="3"/>
    </row>
    <row r="1629" spans="4:10" x14ac:dyDescent="0.2">
      <c r="D1629" s="3"/>
    </row>
    <row r="1630" spans="4:10" x14ac:dyDescent="0.2">
      <c r="E1630" s="3"/>
      <c r="J1630" s="3"/>
    </row>
    <row r="1631" spans="4:10" x14ac:dyDescent="0.2">
      <c r="D1631" s="3"/>
    </row>
    <row r="1632" spans="4:10" ht="53.25" customHeight="1" x14ac:dyDescent="0.2">
      <c r="E1632" s="3"/>
      <c r="J1632" s="3"/>
    </row>
    <row r="1633" spans="4:10" x14ac:dyDescent="0.2">
      <c r="D1633" s="3"/>
    </row>
    <row r="1634" spans="4:10" ht="42.75" customHeight="1" x14ac:dyDescent="0.2">
      <c r="E1634" s="3"/>
      <c r="J1634" s="3"/>
    </row>
    <row r="1635" spans="4:10" x14ac:dyDescent="0.2">
      <c r="D1635" s="3"/>
      <c r="E1635" s="3"/>
      <c r="J1635" s="3"/>
    </row>
    <row r="1636" spans="4:10" ht="113.25" customHeight="1" x14ac:dyDescent="0.2">
      <c r="D1636" s="3"/>
    </row>
    <row r="1637" spans="4:10" ht="18.75" customHeight="1" x14ac:dyDescent="0.2">
      <c r="E1637" s="3"/>
      <c r="J1637" s="3"/>
    </row>
    <row r="1638" spans="4:10" x14ac:dyDescent="0.2">
      <c r="D1638" s="3"/>
      <c r="E1638" s="3"/>
      <c r="J1638" s="3"/>
    </row>
    <row r="1639" spans="4:10" x14ac:dyDescent="0.2">
      <c r="D1639" s="3"/>
      <c r="E1639" s="3"/>
      <c r="J1639" s="3"/>
    </row>
    <row r="1640" spans="4:10" x14ac:dyDescent="0.2">
      <c r="D1640" s="3"/>
      <c r="E1640" s="3"/>
      <c r="J1640" s="3"/>
    </row>
    <row r="1641" spans="4:10" x14ac:dyDescent="0.2">
      <c r="D1641" s="3"/>
    </row>
    <row r="1643" spans="4:10" ht="53.25" customHeight="1" x14ac:dyDescent="0.2"/>
    <row r="1645" spans="4:10" x14ac:dyDescent="0.2">
      <c r="E1645" s="3"/>
      <c r="J1645" s="3"/>
    </row>
    <row r="1646" spans="4:10" x14ac:dyDescent="0.2">
      <c r="D1646" s="3"/>
    </row>
    <row r="1647" spans="4:10" ht="51" customHeight="1" x14ac:dyDescent="0.2"/>
    <row r="1648" spans="4:10" x14ac:dyDescent="0.2">
      <c r="E1648" s="3"/>
      <c r="J1648" s="3"/>
    </row>
    <row r="1649" spans="4:10" x14ac:dyDescent="0.2">
      <c r="D1649" s="3"/>
    </row>
    <row r="1650" spans="4:10" x14ac:dyDescent="0.2">
      <c r="E1650" s="3"/>
      <c r="J1650" s="3"/>
    </row>
    <row r="1651" spans="4:10" x14ac:dyDescent="0.2">
      <c r="D1651" s="3"/>
    </row>
    <row r="1653" spans="4:10" ht="27" customHeight="1" x14ac:dyDescent="0.2"/>
    <row r="1654" spans="4:10" ht="17.25" customHeight="1" x14ac:dyDescent="0.2">
      <c r="E1654" s="3"/>
      <c r="J1654" s="3"/>
    </row>
    <row r="1655" spans="4:10" x14ac:dyDescent="0.2">
      <c r="D1655" s="3"/>
    </row>
    <row r="1656" spans="4:10" ht="38.25" customHeight="1" x14ac:dyDescent="0.2"/>
    <row r="1658" spans="4:10" ht="20.25" customHeight="1" x14ac:dyDescent="0.2">
      <c r="E1658" s="3"/>
      <c r="J1658" s="3"/>
    </row>
    <row r="1659" spans="4:10" x14ac:dyDescent="0.2">
      <c r="D1659" s="3"/>
    </row>
    <row r="1660" spans="4:10" ht="127.5" customHeight="1" x14ac:dyDescent="0.2"/>
    <row r="1661" spans="4:10" ht="42" customHeight="1" x14ac:dyDescent="0.2"/>
    <row r="1663" spans="4:10" ht="42" customHeight="1" x14ac:dyDescent="0.2"/>
    <row r="1664" spans="4:10" ht="129.75" customHeight="1" x14ac:dyDescent="0.2">
      <c r="E1664" s="3"/>
      <c r="J1664" s="3"/>
    </row>
    <row r="1665" spans="4:10" ht="27" customHeight="1" x14ac:dyDescent="0.2">
      <c r="D1665" s="3"/>
      <c r="E1665" s="3"/>
      <c r="J1665" s="3"/>
    </row>
    <row r="1666" spans="4:10" ht="44.25" customHeight="1" x14ac:dyDescent="0.2">
      <c r="D1666" s="3"/>
      <c r="E1666" s="3"/>
      <c r="J1666" s="3"/>
    </row>
    <row r="1667" spans="4:10" x14ac:dyDescent="0.2">
      <c r="D1667" s="3"/>
    </row>
    <row r="1671" spans="4:10" ht="33" customHeight="1" x14ac:dyDescent="0.2"/>
    <row r="1673" spans="4:10" x14ac:dyDescent="0.2">
      <c r="E1673" s="3"/>
      <c r="J1673" s="3"/>
    </row>
    <row r="1674" spans="4:10" ht="22.5" customHeight="1" x14ac:dyDescent="0.2">
      <c r="D1674" s="3"/>
      <c r="E1674" s="3"/>
      <c r="J1674" s="3"/>
    </row>
    <row r="1675" spans="4:10" x14ac:dyDescent="0.2">
      <c r="D1675" s="3"/>
      <c r="E1675" s="3"/>
      <c r="J1675" s="3"/>
    </row>
    <row r="1676" spans="4:10" ht="57" customHeight="1" x14ac:dyDescent="0.2">
      <c r="D1676" s="3"/>
    </row>
    <row r="1679" spans="4:10" x14ac:dyDescent="0.2">
      <c r="E1679" s="3"/>
      <c r="J1679" s="3"/>
    </row>
    <row r="1680" spans="4:10" ht="49.5" customHeight="1" x14ac:dyDescent="0.2">
      <c r="D1680" s="3"/>
      <c r="E1680" s="3"/>
      <c r="J1680" s="3"/>
    </row>
    <row r="1681" spans="4:10" x14ac:dyDescent="0.2">
      <c r="D1681" s="3"/>
    </row>
    <row r="1684" spans="4:10" ht="48.75" customHeight="1" x14ac:dyDescent="0.2"/>
    <row r="1685" spans="4:10" x14ac:dyDescent="0.2">
      <c r="E1685" s="3"/>
      <c r="J1685" s="3"/>
    </row>
    <row r="1686" spans="4:10" x14ac:dyDescent="0.2">
      <c r="D1686" s="3"/>
    </row>
    <row r="1690" spans="4:10" ht="84" customHeight="1" x14ac:dyDescent="0.2"/>
    <row r="1691" spans="4:10" ht="34.5" customHeight="1" x14ac:dyDescent="0.2"/>
    <row r="1692" spans="4:10" ht="24.75" customHeight="1" x14ac:dyDescent="0.2"/>
    <row r="1694" spans="4:10" x14ac:dyDescent="0.2">
      <c r="E1694" s="3"/>
      <c r="J1694" s="3"/>
    </row>
    <row r="1695" spans="4:10" x14ac:dyDescent="0.2">
      <c r="D1695" s="3"/>
    </row>
    <row r="1698" spans="4:10" x14ac:dyDescent="0.2">
      <c r="E1698" s="3"/>
      <c r="J1698" s="3"/>
    </row>
    <row r="1699" spans="4:10" ht="36" customHeight="1" x14ac:dyDescent="0.2">
      <c r="D1699" s="3"/>
    </row>
    <row r="1700" spans="4:10" ht="111.75" customHeight="1" x14ac:dyDescent="0.2">
      <c r="E1700" s="3"/>
      <c r="J1700" s="3"/>
    </row>
    <row r="1701" spans="4:10" ht="27.75" customHeight="1" x14ac:dyDescent="0.2">
      <c r="D1701" s="3"/>
      <c r="E1701" s="3"/>
      <c r="J1701" s="3"/>
    </row>
    <row r="1702" spans="4:10" x14ac:dyDescent="0.2">
      <c r="D1702" s="3"/>
    </row>
    <row r="1705" spans="4:10" ht="111.75" customHeight="1" x14ac:dyDescent="0.2"/>
    <row r="1706" spans="4:10" ht="42.75" customHeight="1" x14ac:dyDescent="0.2">
      <c r="E1706" s="3"/>
      <c r="J1706" s="3"/>
    </row>
    <row r="1707" spans="4:10" x14ac:dyDescent="0.2">
      <c r="D1707" s="3"/>
      <c r="E1707" s="3"/>
      <c r="J1707" s="3"/>
    </row>
    <row r="1708" spans="4:10" x14ac:dyDescent="0.2">
      <c r="D1708" s="3"/>
    </row>
    <row r="1711" spans="4:10" ht="51.75" customHeight="1" x14ac:dyDescent="0.2">
      <c r="E1711" s="3"/>
      <c r="J1711" s="3"/>
    </row>
    <row r="1712" spans="4:10" x14ac:dyDescent="0.2">
      <c r="D1712" s="3"/>
      <c r="E1712" s="3"/>
      <c r="J1712" s="3"/>
    </row>
    <row r="1713" spans="4:10" x14ac:dyDescent="0.2">
      <c r="D1713" s="3"/>
    </row>
    <row r="1715" spans="4:10" x14ac:dyDescent="0.2">
      <c r="E1715" s="3"/>
      <c r="J1715" s="3"/>
    </row>
    <row r="1716" spans="4:10" x14ac:dyDescent="0.2">
      <c r="D1716" s="3"/>
      <c r="E1716" s="3"/>
      <c r="J1716" s="3"/>
    </row>
    <row r="1717" spans="4:10" x14ac:dyDescent="0.2">
      <c r="D1717" s="3"/>
    </row>
    <row r="1718" spans="4:10" x14ac:dyDescent="0.2">
      <c r="E1718" s="3"/>
      <c r="J1718" s="3"/>
    </row>
    <row r="1719" spans="4:10" x14ac:dyDescent="0.2">
      <c r="D1719" s="3"/>
      <c r="E1719" s="3"/>
      <c r="J1719" s="3"/>
    </row>
    <row r="1720" spans="4:10" ht="50.25" customHeight="1" x14ac:dyDescent="0.2">
      <c r="D1720" s="3"/>
      <c r="E1720" s="3"/>
      <c r="J1720" s="3"/>
    </row>
    <row r="1721" spans="4:10" x14ac:dyDescent="0.2">
      <c r="D1721" s="3"/>
    </row>
    <row r="1722" spans="4:10" x14ac:dyDescent="0.2">
      <c r="E1722" s="3"/>
      <c r="J1722" s="3"/>
    </row>
    <row r="1723" spans="4:10" x14ac:dyDescent="0.2">
      <c r="D1723" s="3"/>
      <c r="E1723" s="3"/>
      <c r="J1723" s="3"/>
    </row>
    <row r="1724" spans="4:10" ht="51" customHeight="1" x14ac:dyDescent="0.2">
      <c r="D1724" s="3"/>
      <c r="E1724" s="3"/>
      <c r="J1724" s="3"/>
    </row>
    <row r="1725" spans="4:10" x14ac:dyDescent="0.2">
      <c r="D1725" s="3"/>
    </row>
    <row r="1726" spans="4:10" ht="41.25" customHeight="1" x14ac:dyDescent="0.2"/>
    <row r="1727" spans="4:10" ht="23.25" customHeight="1" x14ac:dyDescent="0.2"/>
    <row r="1728" spans="4:10" x14ac:dyDescent="0.2">
      <c r="E1728" s="3"/>
      <c r="J1728" s="3"/>
    </row>
    <row r="1729" spans="4:11" x14ac:dyDescent="0.2">
      <c r="D1729" s="3"/>
    </row>
    <row r="1730" spans="4:11" x14ac:dyDescent="0.2">
      <c r="E1730" s="3"/>
      <c r="J1730" s="3"/>
    </row>
    <row r="1731" spans="4:11" x14ac:dyDescent="0.2">
      <c r="D1731" s="3"/>
      <c r="E1731" s="3"/>
      <c r="J1731" s="3"/>
    </row>
    <row r="1732" spans="4:11" ht="50.25" customHeight="1" x14ac:dyDescent="0.2">
      <c r="D1732" s="3"/>
    </row>
    <row r="1733" spans="4:11" ht="22.5" customHeight="1" x14ac:dyDescent="0.2"/>
    <row r="1737" spans="4:11" ht="114" customHeight="1" x14ac:dyDescent="0.2"/>
    <row r="1738" spans="4:11" ht="24.75" customHeight="1" x14ac:dyDescent="0.2"/>
    <row r="1740" spans="4:11" x14ac:dyDescent="0.2">
      <c r="K1740" s="10"/>
    </row>
    <row r="1741" spans="4:11" ht="81.75" customHeight="1" x14ac:dyDescent="0.2">
      <c r="K1741" s="10"/>
    </row>
    <row r="1742" spans="4:11" ht="22.5" customHeight="1" x14ac:dyDescent="0.2">
      <c r="K1742" s="10"/>
    </row>
    <row r="1744" spans="4:11" ht="28.5" customHeight="1" x14ac:dyDescent="0.2"/>
    <row r="1745" ht="130.5" customHeight="1" x14ac:dyDescent="0.2"/>
    <row r="1746" ht="24.75" customHeight="1" x14ac:dyDescent="0.2"/>
    <row r="1748" ht="24" customHeight="1" x14ac:dyDescent="0.2"/>
    <row r="1749" ht="80.25" customHeight="1" x14ac:dyDescent="0.2"/>
    <row r="1750" ht="21.75" customHeight="1" x14ac:dyDescent="0.2"/>
    <row r="1754" ht="45.75" customHeight="1" x14ac:dyDescent="0.2"/>
    <row r="1756" ht="51.75" customHeight="1" x14ac:dyDescent="0.2"/>
    <row r="1757" ht="51.75" customHeight="1" x14ac:dyDescent="0.2"/>
    <row r="1760" ht="47.25" customHeight="1" x14ac:dyDescent="0.2"/>
    <row r="1761" spans="1:12" ht="52.5" customHeight="1" x14ac:dyDescent="0.2"/>
    <row r="1766" spans="1:12" s="2" customFormat="1" x14ac:dyDescent="0.2">
      <c r="A1766" s="11"/>
      <c r="B1766" s="32"/>
      <c r="C1766" s="3"/>
      <c r="D1766" s="4"/>
      <c r="E1766" s="4"/>
      <c r="F1766" s="4"/>
      <c r="G1766" s="3"/>
      <c r="H1766" s="4"/>
      <c r="I1766" s="4"/>
      <c r="J1766" s="4"/>
      <c r="K1766" s="3"/>
      <c r="L1766" s="14"/>
    </row>
    <row r="1767" spans="1:12" s="2" customFormat="1" x14ac:dyDescent="0.2">
      <c r="A1767" s="11"/>
      <c r="B1767" s="32"/>
      <c r="C1767" s="3"/>
      <c r="D1767" s="4"/>
      <c r="E1767" s="4"/>
      <c r="F1767" s="4"/>
      <c r="G1767" s="3"/>
      <c r="H1767" s="4"/>
      <c r="I1767" s="4"/>
      <c r="J1767" s="4"/>
      <c r="K1767" s="3"/>
      <c r="L1767" s="14"/>
    </row>
    <row r="1768" spans="1:12" s="2" customFormat="1" x14ac:dyDescent="0.2">
      <c r="A1768" s="11"/>
      <c r="B1768" s="32"/>
      <c r="C1768" s="3"/>
      <c r="D1768" s="4"/>
      <c r="E1768" s="4"/>
      <c r="F1768" s="4"/>
      <c r="G1768" s="3"/>
      <c r="H1768" s="4"/>
      <c r="I1768" s="4"/>
      <c r="J1768" s="4"/>
      <c r="K1768" s="3"/>
      <c r="L1768" s="14"/>
    </row>
  </sheetData>
  <mergeCells count="29">
    <mergeCell ref="A1049:A1181"/>
    <mergeCell ref="A1182:A1228"/>
    <mergeCell ref="A1230:A1255"/>
    <mergeCell ref="A1256:A1290"/>
    <mergeCell ref="A1291:A1339"/>
    <mergeCell ref="A443:A536"/>
    <mergeCell ref="A537:A592"/>
    <mergeCell ref="A593:A642"/>
    <mergeCell ref="A643:A940"/>
    <mergeCell ref="A941:A1048"/>
    <mergeCell ref="A20:A27"/>
    <mergeCell ref="A28:A236"/>
    <mergeCell ref="A237:A330"/>
    <mergeCell ref="A331:A367"/>
    <mergeCell ref="A368:A442"/>
    <mergeCell ref="L16:L17"/>
    <mergeCell ref="M16:M17"/>
    <mergeCell ref="A10:M10"/>
    <mergeCell ref="L15:M15"/>
    <mergeCell ref="A16:A17"/>
    <mergeCell ref="B16:B17"/>
    <mergeCell ref="C16:C17"/>
    <mergeCell ref="D16:J16"/>
    <mergeCell ref="J15:K15"/>
    <mergeCell ref="K16:K17"/>
    <mergeCell ref="F17:I17"/>
    <mergeCell ref="A11:M11"/>
    <mergeCell ref="A12:M12"/>
    <mergeCell ref="A13:M13"/>
  </mergeCells>
  <pageMargins left="0.78740157480314965" right="0" top="1.1811023622047245" bottom="0.39370078740157483" header="0.51181102362204722" footer="0.31496062992125984"/>
  <pageSetup paperSize="9" fitToHeight="0" orientation="landscape" r:id="rId1"/>
  <headerFooter differentFirst="1" alignWithMargins="0">
    <oddHeader>&amp;C&amp;"Times New Roman,обычный"&amp;P</oddHeader>
  </headerFooter>
  <rowBreaks count="83" manualBreakCount="83">
    <brk id="453" max="12" man="1"/>
    <brk id="463" max="12" man="1"/>
    <brk id="475" max="12" man="1"/>
    <brk id="487" max="12" man="1"/>
    <brk id="497" max="12" man="1"/>
    <brk id="506" max="12" man="1"/>
    <brk id="517" max="12" man="1"/>
    <brk id="530" max="12" man="1"/>
    <brk id="542" max="12" man="1"/>
    <brk id="554" max="12" man="1"/>
    <brk id="568" max="12" man="1"/>
    <brk id="583" max="12" man="1"/>
    <brk id="596" max="12" man="1"/>
    <brk id="608" max="12" man="1"/>
    <brk id="614" max="12" man="1"/>
    <brk id="624" max="12" man="1"/>
    <brk id="635" max="12" man="1"/>
    <brk id="649" max="12" man="1"/>
    <brk id="661" max="12" man="1"/>
    <brk id="679" max="12" man="1"/>
    <brk id="688" max="12" man="1"/>
    <brk id="699" max="12" man="1"/>
    <brk id="710" max="12" man="1"/>
    <brk id="722" max="12" man="1"/>
    <brk id="731" max="12" man="1"/>
    <brk id="736" max="12" man="1"/>
    <brk id="745" max="12" man="1"/>
    <brk id="752" max="12" man="1"/>
    <brk id="759" max="12" man="1"/>
    <brk id="766" max="12" man="1"/>
    <brk id="774" max="12" man="1"/>
    <brk id="784" max="12" man="1"/>
    <brk id="796" max="12" man="1"/>
    <brk id="807" max="12" man="1"/>
    <brk id="816" max="12" man="1"/>
    <brk id="825" max="12" man="1"/>
    <brk id="835" max="12" man="1"/>
    <brk id="844" max="12" man="1"/>
    <brk id="854" max="12" man="1"/>
    <brk id="863" max="12" man="1"/>
    <brk id="872" max="12" man="1"/>
    <brk id="881" max="12" man="1"/>
    <brk id="893" max="12" man="1"/>
    <brk id="902" max="12" man="1"/>
    <brk id="910" max="12" man="1"/>
    <brk id="919" max="12" man="1"/>
    <brk id="929" max="12" man="1"/>
    <brk id="938" max="12" man="1"/>
    <brk id="952" max="12" man="1"/>
    <brk id="963" max="12" man="1"/>
    <brk id="971" max="12" man="1"/>
    <brk id="981" max="12" man="1"/>
    <brk id="991" max="12" man="1"/>
    <brk id="1003" max="12" man="1"/>
    <brk id="1015" max="12" man="1"/>
    <brk id="1028" max="12" man="1"/>
    <brk id="1040" max="12" man="1"/>
    <brk id="1047" max="12" man="1"/>
    <brk id="1059" max="12" man="1"/>
    <brk id="1073" max="12" man="1"/>
    <brk id="1085" max="12" man="1"/>
    <brk id="1095" max="12" man="1"/>
    <brk id="1107" max="12" man="1"/>
    <brk id="1119" max="12" man="1"/>
    <brk id="1132" max="12" man="1"/>
    <brk id="1143" max="12" man="1"/>
    <brk id="1155" max="12" man="1"/>
    <brk id="1167" max="12" man="1"/>
    <brk id="1178" max="12" man="1"/>
    <brk id="1191" max="12" man="1"/>
    <brk id="1202" max="12" man="1"/>
    <brk id="1213" max="12" man="1"/>
    <brk id="1221" max="12" man="1"/>
    <brk id="1235" max="12" man="1"/>
    <brk id="1247" max="12" man="1"/>
    <brk id="1259" max="12" man="1"/>
    <brk id="1272" max="12" man="1"/>
    <brk id="1283" max="12" man="1"/>
    <brk id="1296" max="12" man="1"/>
    <brk id="1306" max="12" man="1"/>
    <brk id="1317" max="12" man="1"/>
    <brk id="1326" max="12" man="1"/>
    <brk id="1334" max="12" man="1"/>
  </rowBreaks>
  <ignoredErrors>
    <ignoredError sqref="D1123:E11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новой классификации (2)</vt:lpstr>
      <vt:lpstr>'по новой классификации (2)'!Заголовки_для_печати</vt:lpstr>
      <vt:lpstr>'по новой классификации (2)'!Область_печати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Пичугина ЛВ.</cp:lastModifiedBy>
  <cp:lastPrinted>2023-10-19T12:54:42Z</cp:lastPrinted>
  <dcterms:created xsi:type="dcterms:W3CDTF">2008-10-22T15:37:46Z</dcterms:created>
  <dcterms:modified xsi:type="dcterms:W3CDTF">2023-10-27T08:35:20Z</dcterms:modified>
</cp:coreProperties>
</file>